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gizonline.sharepoint.com/sites/MobilizeNetZero21.9015.5withguests/Freigegebene Dokumente/F - III.2 East Africa/Knowledge Products/EV Transition readiness assessment/Deliverables/Final/"/>
    </mc:Choice>
  </mc:AlternateContent>
  <xr:revisionPtr revIDLastSave="3" documentId="8_{FF3A4C03-5B62-4463-83BF-C351B4699CE7}" xr6:coauthVersionLast="47" xr6:coauthVersionMax="47" xr10:uidLastSave="{24D84AD1-02E3-4265-BB9E-654333096A41}"/>
  <bookViews>
    <workbookView xWindow="-120" yWindow="-120" windowWidth="29040" windowHeight="15720" firstSheet="1" activeTab="3" xr2:uid="{00000000-000D-0000-FFFF-FFFF00000000}"/>
  </bookViews>
  <sheets>
    <sheet name="Guide" sheetId="1" r:id="rId1"/>
    <sheet name="C0_Inputs" sheetId="2" r:id="rId2"/>
    <sheet name="C1_Emissions" sheetId="3" r:id="rId3"/>
    <sheet name="Dashboard" sheetId="4" r:id="rId4"/>
    <sheet name="Info &amp; Definitions " sheetId="5" r:id="rId5"/>
  </sheets>
  <definedNames>
    <definedName name="charging_efficiency">C0_Inputs!$E$31</definedName>
    <definedName name="grid_CO2e_per_kWh">C0_Inputs!$E$32</definedName>
    <definedName name="tailpipe_CO2_per_L">C0_Inputs!$E$16</definedName>
    <definedName name="upstream_diesel_CO2e_per_L">C0_Inputs!$E$17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2" l="1"/>
  <c r="C49" i="2"/>
  <c r="F48" i="2"/>
  <c r="C48" i="2"/>
  <c r="C50" i="2" s="1"/>
  <c r="B13" i="3" s="1"/>
  <c r="F47" i="2"/>
  <c r="F46" i="2"/>
  <c r="C46" i="2"/>
  <c r="F44" i="2"/>
  <c r="C44" i="2"/>
  <c r="C47" i="2" s="1"/>
  <c r="F43" i="2"/>
  <c r="C43" i="2"/>
  <c r="F42" i="2"/>
  <c r="C42" i="2"/>
  <c r="F41" i="2"/>
  <c r="C41" i="2"/>
  <c r="B22" i="3" s="1"/>
  <c r="F37" i="2"/>
  <c r="C37" i="2"/>
  <c r="F36" i="2"/>
  <c r="C36" i="2"/>
  <c r="F35" i="2"/>
  <c r="C35" i="2"/>
  <c r="F34" i="2"/>
  <c r="C34" i="2"/>
  <c r="F33" i="2"/>
  <c r="C33" i="2"/>
  <c r="C32" i="2"/>
  <c r="C31" i="2"/>
  <c r="F30" i="2"/>
  <c r="C30" i="2"/>
  <c r="B28" i="2"/>
  <c r="B27" i="2"/>
  <c r="B26" i="2"/>
  <c r="B25" i="2"/>
  <c r="B24" i="2"/>
  <c r="C18" i="2" s="1"/>
  <c r="F19" i="2"/>
  <c r="C19" i="2"/>
  <c r="F18" i="2"/>
  <c r="C17" i="2"/>
  <c r="C16" i="2"/>
  <c r="C15" i="2"/>
  <c r="C20" i="2" s="1"/>
  <c r="F10" i="2"/>
  <c r="C10" i="2"/>
  <c r="F9" i="2"/>
  <c r="C9" i="2"/>
  <c r="C11" i="2" s="1"/>
  <c r="B4" i="3" s="1"/>
  <c r="F8" i="2"/>
  <c r="C8" i="2"/>
  <c r="F7" i="2"/>
  <c r="C7" i="2"/>
  <c r="C38" i="2" l="1"/>
  <c r="C51" i="2"/>
  <c r="B23" i="3" s="1"/>
  <c r="C12" i="2"/>
  <c r="B5" i="3" s="1"/>
  <c r="B54" i="3" l="1"/>
  <c r="B48" i="3"/>
  <c r="B56" i="3"/>
  <c r="B18" i="3"/>
  <c r="B12" i="3"/>
  <c r="B11" i="3"/>
  <c r="B8" i="3"/>
  <c r="B19" i="3" l="1"/>
  <c r="B20" i="3" s="1"/>
  <c r="B42" i="3"/>
  <c r="B10" i="3"/>
  <c r="B53" i="3" s="1"/>
  <c r="B9" i="3"/>
  <c r="B40" i="3"/>
  <c r="B46" i="3"/>
  <c r="B14" i="3" l="1"/>
  <c r="B52" i="3"/>
  <c r="B21" i="3"/>
  <c r="B27" i="3"/>
  <c r="B26" i="3"/>
  <c r="B49" i="3" l="1"/>
  <c r="B32" i="3"/>
  <c r="B73" i="4" s="1"/>
  <c r="B37" i="3"/>
  <c r="B24" i="3"/>
  <c r="B55" i="3"/>
  <c r="B47" i="3"/>
  <c r="B31" i="3"/>
  <c r="B72" i="4" s="1"/>
  <c r="B36" i="3"/>
  <c r="B5" i="4"/>
  <c r="B41" i="3"/>
  <c r="B50" i="4" s="1"/>
  <c r="B15" i="3"/>
  <c r="B6" i="4" l="1"/>
  <c r="A2" i="4" s="1"/>
  <c r="B43" i="3"/>
  <c r="B51" i="4" s="1"/>
  <c r="B25" i="3"/>
  <c r="B29" i="4" s="1"/>
  <c r="B35" i="3"/>
  <c r="B30" i="3"/>
  <c r="B71" i="4" s="1"/>
  <c r="B28" i="4"/>
  <c r="B44" i="3" l="1"/>
</calcChain>
</file>

<file path=xl/sharedStrings.xml><?xml version="1.0" encoding="utf-8"?>
<sst xmlns="http://schemas.openxmlformats.org/spreadsheetml/2006/main" count="504" uniqueCount="420">
  <si>
    <t xml:space="preserve">Module C — Environmental </t>
  </si>
  <si>
    <t>Note: If a value is entered in column B, it overrides the default in column E. Column C shows actual value used</t>
  </si>
  <si>
    <t>Parameter</t>
  </si>
  <si>
    <t>Input</t>
  </si>
  <si>
    <t>Used</t>
  </si>
  <si>
    <t>Help / where to get</t>
  </si>
  <si>
    <t>Default (auto)</t>
  </si>
  <si>
    <t>Source</t>
  </si>
  <si>
    <t>Unit</t>
  </si>
  <si>
    <t>Notes</t>
  </si>
  <si>
    <t>Project &amp; utilisation</t>
  </si>
  <si>
    <t>Project name</t>
  </si>
  <si>
    <t>Label only.</t>
  </si>
  <si>
    <t>(enter text)</t>
  </si>
  <si>
    <t>Vehicles (count)</t>
  </si>
  <si>
    <t>Number of minibuses.</t>
  </si>
  <si>
    <t>veh</t>
  </si>
  <si>
    <t>Days in service / year</t>
  </si>
  <si>
    <t>Operating days per vehicle per year.</t>
  </si>
  <si>
    <t>days/yr</t>
  </si>
  <si>
    <t>Daily km per vehicle</t>
  </si>
  <si>
    <t>Total km per vehicle per day.</t>
  </si>
  <si>
    <t>km/day</t>
  </si>
  <si>
    <t>Annual km / vehicle</t>
  </si>
  <si>
    <t>km/veh/yr</t>
  </si>
  <si>
    <t>Annual km — fleet</t>
  </si>
  <si>
    <t>km/yr</t>
  </si>
  <si>
    <t>ICE (diesel) parameters</t>
  </si>
  <si>
    <t>Diesel consumption (L/100 km)</t>
  </si>
  <si>
    <t>Average L/100km.</t>
  </si>
  <si>
    <t>Units</t>
  </si>
  <si>
    <t>L/100km</t>
  </si>
  <si>
    <t>Diesel CO₂ EF (kg CO₂/L)</t>
  </si>
  <si>
    <t>Tank-to-wheel ("tailpipe") CO₂ only (kg CO₂/L).</t>
  </si>
  <si>
    <t>kg CO2/L</t>
  </si>
  <si>
    <t>kg/L</t>
  </si>
  <si>
    <t>Upstream diesel (WTT) EF (kg CO₂e/L)</t>
  </si>
  <si>
    <t>Upstream diesel EF (WTT, kg CO2e/L)</t>
  </si>
  <si>
    <t>kg CO2e/L</t>
  </si>
  <si>
    <t>NOx factor (g/km)</t>
  </si>
  <si>
    <t>Use g/km factors (not per litre). Leave 0 if unknown; use best-practice published values when available.</t>
  </si>
  <si>
    <t>g/km</t>
  </si>
  <si>
    <t>PM2.5 factor (g/km)</t>
  </si>
  <si>
    <t>Use g/km factors (not per litre).</t>
  </si>
  <si>
    <t>Diesel consumption (L/km)</t>
  </si>
  <si>
    <t>L/km</t>
  </si>
  <si>
    <t>Fuel quality mapping (optional — affects NOx &amp; PM only)</t>
  </si>
  <si>
    <t>Diesel sulphur class</t>
  </si>
  <si>
    <t>Unknown</t>
  </si>
  <si>
    <t>Note: multipliers default to 1.00 (no output change). To apply, edit mapping table in Info &amp; Definitions.</t>
  </si>
  <si>
    <t>After-treatment / fleet tech</t>
  </si>
  <si>
    <t>Unknown/mixed</t>
  </si>
  <si>
    <t>NOx multiplier (auto)</t>
  </si>
  <si>
    <t>PM2.5 multiplier (auto)</t>
  </si>
  <si>
    <t>Fuel quality warning</t>
  </si>
  <si>
    <t>Lookup key (auto)</t>
  </si>
  <si>
    <t>Scope note: fuel quality adjustment is optional and affects NOx &amp; PM only (via multipliers in the fuel quality block). CO₂ and WTT factors are unchanged.</t>
  </si>
  <si>
    <t>Mapping status</t>
  </si>
  <si>
    <t>EV parameters &amp; grid</t>
  </si>
  <si>
    <t>EV efficiency (kWh/km)</t>
  </si>
  <si>
    <t>Energy at wheels per km.</t>
  </si>
  <si>
    <t>kWh/km</t>
  </si>
  <si>
    <t>Charging efficiency (decimal)</t>
  </si>
  <si>
    <t>Meter→battery charging efficiency (decimal). Typical 0.85–0.90.</t>
  </si>
  <si>
    <t>decimal</t>
  </si>
  <si>
    <t>ratio</t>
  </si>
  <si>
    <t>Grid EF (kg CO₂/kWh)</t>
  </si>
  <si>
    <t>Electricity grid EF (kg CO2e/kWh)</t>
  </si>
  <si>
    <t>kg CO2e/kWh</t>
  </si>
  <si>
    <t>kg/kWh</t>
  </si>
  <si>
    <t>Renewables share on supply (%)</t>
  </si>
  <si>
    <t>Share of charging from renewables (0–100).</t>
  </si>
  <si>
    <t>%</t>
  </si>
  <si>
    <t>Renewables EF (kg CO₂/kWh)</t>
  </si>
  <si>
    <t>Renewable electricity EF (kg CO2e/kWh)</t>
  </si>
  <si>
    <t>T&amp;D loss (%)</t>
  </si>
  <si>
    <t>Transmission &amp; distribution losses.</t>
  </si>
  <si>
    <t>Grid NOx factor (g/kWh) [optional]</t>
  </si>
  <si>
    <t>EV NOx EF (g/kWh, optional)</t>
  </si>
  <si>
    <t>g/kWh</t>
  </si>
  <si>
    <t>Grid PM2.5 factor (g/kWh) [optional]</t>
  </si>
  <si>
    <t>EV PM2.5 EF (g/kWh, optional)</t>
  </si>
  <si>
    <t>Effective grid EF (kg CO₂/kWh)</t>
  </si>
  <si>
    <t>Effective electricity EF (kg CO2e/kWh) [computed]</t>
  </si>
  <si>
    <t xml:space="preserve">Battery manufacturing </t>
  </si>
  <si>
    <t>Include battery manufacturing? (Yes/No)</t>
  </si>
  <si>
    <t>No</t>
  </si>
  <si>
    <t>Amortize battery manufacturing CO₂.</t>
  </si>
  <si>
    <t>Yes</t>
  </si>
  <si>
    <t>Battery capacity (kWh)</t>
  </si>
  <si>
    <t>Pack capacity per vehicle.</t>
  </si>
  <si>
    <t>kWh</t>
  </si>
  <si>
    <t>Battery manuf. EF (kg CO₂/kWh)</t>
  </si>
  <si>
    <t>70–110 typical.</t>
  </si>
  <si>
    <t>Battery life for amortization (years)</t>
  </si>
  <si>
    <t>Years to spread pack manufacturing.</t>
  </si>
  <si>
    <t>yrs</t>
  </si>
  <si>
    <t xml:space="preserve">Vehicle manufacturing </t>
  </si>
  <si>
    <t>Include vehicle manufacturing? (Yes/No)</t>
  </si>
  <si>
    <t>If unknown: approx. 6 tCO₂e per tonne of curb mass (non-battery). Adjust when you have supplier data.</t>
  </si>
  <si>
    <t>Vehicle lifetime (years) [amortize manufacturing]</t>
  </si>
  <si>
    <t>Years to spread vehicle manufacturing.</t>
  </si>
  <si>
    <t>ICE vehicle manuf. EF (t CO₂e/vehicle)</t>
  </si>
  <si>
    <t>Per diesel minibus.</t>
  </si>
  <si>
    <t>t/veh</t>
  </si>
  <si>
    <t>EV manuf. EF excl. battery (t CO₂e/vehicle)</t>
  </si>
  <si>
    <t>Per e‑minibus.</t>
  </si>
  <si>
    <t>Annualized ICE manuf. (t/yr, fleet)</t>
  </si>
  <si>
    <t>t/yr</t>
  </si>
  <si>
    <t>Annualized EV manuf. excl. battery (t/yr, fleet)</t>
  </si>
  <si>
    <t>Module C – Emissions &amp; Environmental Impact (GHG Model)</t>
  </si>
  <si>
    <t>Overview</t>
  </si>
  <si>
    <t>Module C is an emissions and environmental impact model for East African minibus fleets. It calculates annual greenhouse gas emissions (tCO₂e) and selected air pollutants for a baseline diesel fleet and an electric minibus fleet serving the same duty cycle.
 The tool brings together four main components:
 • ICE use-phase emissions – tailpipe CO₂ and upstream (well‑to‑tank) emissions from diesel.
 • EV use-phase emissions – CO₂ from electricity generation, including charging losses and optional grid NOx/PM₂.₅.
 • Manufacturing emissions – Inclusion of vehicle and battery manufacturing, amortised over their lifetimes.
 • Intensity metrics – total annual tCO₂e, per‑km CO₂ intensity (g/km), and per‑vehicle tCO₂e per year, for ICE and EV.
 The Dashboard then provides a simple Conditional Go / Maybe / No‑Go judgement based on whether EV total GHG is at least 5% lower than diesel, within ±5%, or higher.</t>
  </si>
  <si>
    <t>How to use this tool</t>
  </si>
  <si>
    <t>1. Start on the ‘C0_Inputs’ sheet. In the ‘Project &amp; utilisation’ section, enter your fleet size, days in service per year, and daily kilometres per vehicle. Column B holds user inputs, column E holds defaults, and column C shows the actual value used in calculations.
 2. In the ‘ICE (diesel) parameters’ section, confirm or update diesel consumption (L/100 km), diesel CO₂ emission factor, upstream diesel emission factor, and local pollutant factors (NOx and PM₂.₅). Use country‑specific or operator‑specific data where available.
 3. In the ‘EV parameters &amp; grid’ section, enter EV efficiency (kWh/km), charging efficiency, and grid emission factor, plus any information on renewables share, transmission &amp; distribution losses, and optional NOx/PM₂.₅ factors for the grid.
 4. In the ‘Battery manufacturing’ and ‘Vehicle manufacturing’ sections, decide whether to include these components, and, if so, specify battery size, emission factors and lifetimes for amortisation.
 5. Review the detailed breakdown on ‘C1_Emissions’. This sheet shows fleet‑wide totals, per‑km intensity, per‑vehicle results and a decomposition of the footprint into tailpipe, upstream, electricity use and manufacturing.
 6. Use the ‘Dashboard’ to see the headline comparison: total annual ICE vs EV GHG, g/km intensities, per‑vehicle tCO₂e/yr, and the Go / Maybe / No‑Go verdict.
 7. If any concept or output is unclear, open the ‘Info &amp; Definitions’ tab for definitions and interpretation guidance.</t>
  </si>
  <si>
    <t>Cell colours &amp; navigation</t>
  </si>
  <si>
    <t>To keep the model robust and easy to use:
 • Light‑blue cells in ‘C0_Inputs’ (mostly in column B) are user inputs. Only type or select values in these cells.
 • Column E holds default values. If you leave column B blank, the model uses the default from column E.
 • Column C shows the ‘Used’ value that actually flows into calculations (either the user override or the default).
 • White or grey and Yellow cells in any sheet are formulas, look‑ups, labels or summary outputs. Do not overwrite them – instead, change the relevant light‑blue inputs.
 • You do not need to edit ‘C1_Emissions’ or the ‘Dashboard’ directly; they are for results and explanations.</t>
  </si>
  <si>
    <t>Methodology &amp; evidence base</t>
  </si>
  <si>
    <t>The default assumptions in Module C are aligned with the same East African context used in the other Toolkit modules. They draw on typical minibus duty cycles, representative diesel and grid emission factors, and reasonable values for battery and vehicle manufacturing footprints.
 The structure of the model ensures that:
 • distance and utilisation are taken from your fleet inputs;
 • diesel and electricity use are derived from intensity assumptions (L/100 km and kWh/km);
 • upstream fuel emissions and grid emissions are added transparently on top of tailpipe or use‑phase emissions; and
 • optional manufacturing emissions are amortised over the lifetime of the vehicles and batteries.
 This design makes it easy to stress‑test scenarios with different grid factors, efficiencies, or manufacturing assumptions.</t>
  </si>
  <si>
    <t>Important notes &amp; limitations</t>
  </si>
  <si>
    <t>• Results are indicative and intended for planning, screening and communication. They do not replace a full life‑cycle assessment (LCA) or national inventory reporting.
 • Emission factors and activity data should be checked against the best available local sources (national inventories, utilities, energy regulators, or OEM data). Defaults are generic and may not capture all country‑specific details.
 • Manufacturing emissions are inherently uncertain and can vary by supplier, technology and year of manufacture. Use these results as order‑of‑magnitude indicators rather than exact values.
 • A ‘Go’ result in Module C (EV clearly lower GHG than ICE) does not, on its own, justify deployment. Combine this analysis with technical, financial, social and institutional findings from Modules A, B, D,E,F</t>
  </si>
  <si>
    <t>Annual Emissions Calculator (fleet-wide)</t>
  </si>
  <si>
    <t>Meaning</t>
  </si>
  <si>
    <t>Explanation</t>
  </si>
  <si>
    <t>Derived utilisation</t>
  </si>
  <si>
    <t>How much vehicles are used. Comes from your distance inputs.</t>
  </si>
  <si>
    <t>How to interpret:
1) Focus on the totals at row 14 (tCO₂e/yr) for a headline comparison.
2) Check row 20 ‘GHG avoided’ — if positive, EV emits less GHG annually than ICE.
3) Use the percent lines (rows 25–27) for relative changes (GHG/NOx/PM).
4) Use per‑vehicle and per‑km panels (rows 29–34) when comparing technologies independent of fleet size.</t>
  </si>
  <si>
    <t>Average kilometres one vehicle drives in a year.</t>
  </si>
  <si>
    <t>Total kilometres all vehicles drive in a year.</t>
  </si>
  <si>
    <t>ICE baseline</t>
  </si>
  <si>
    <t>Diesel vehicles today (baseline). Numbers on the left are for diesel.</t>
  </si>
  <si>
    <t>Diesel liters/year</t>
  </si>
  <si>
    <t>Diesel used by the whole fleet in a year.</t>
  </si>
  <si>
    <t>Annual diesel volume consumed by the ICE fleet. Derived from average L/100 km and total fleet distance per year.</t>
  </si>
  <si>
    <t>Tailpipe CO₂ (t/yr)</t>
  </si>
  <si>
    <t>CO₂ from burning diesel in the engine (tailpipe).</t>
  </si>
  <si>
    <t>CO₂ from fuel combustion only (tank‑to‑wheel) for the ICE fleet. No upstream/refining or manufacturing here.</t>
  </si>
  <si>
    <t>Upstream fuel CO₂ (t/yr)</t>
  </si>
  <si>
    <t>Extra pollution from making and moving the diesel (well‑to‑tank). Shown as CO₂e.</t>
  </si>
  <si>
    <t>Upstream (‘well‑to‑tank’) emissions for ICE diesel — extraction, refining, and distribution. Reported as CO₂e.</t>
  </si>
  <si>
    <t>NOx (kg/yr)</t>
  </si>
  <si>
    <t>Nitrogen oxides (NOx). Bad for air and health.</t>
  </si>
  <si>
    <t>Total nitrogen oxides emitted by the fleet per year. Air pollutant (local air quality), not CO₂e.</t>
  </si>
  <si>
    <t>PM2.5 (kg/yr)</t>
  </si>
  <si>
    <t>Fine dust (PM2.5). Bad for lungs.</t>
  </si>
  <si>
    <t>Total primary PM2.5 emitted by the fleet per year. Air pollutant (local air quality), not CO₂e.</t>
  </si>
  <si>
    <t>Manufacturing (t/yr, amortized)</t>
  </si>
  <si>
    <t>Pollution from building the vehicles, spread over years (no battery).</t>
  </si>
  <si>
    <t>Manufacturing emissions amortized per year. ICE side includes glider/powertrain; EV side splits battery vs vehicle.</t>
  </si>
  <si>
    <t>ICE total GHG (tCO2e/yr)</t>
  </si>
  <si>
    <t>Total annual greenhouse gas emissions from diesel vehicles, expressed in tonnes of CO₂ equivalent per year.</t>
  </si>
  <si>
    <t>Headline totals. Left (ICE): tailpipe CO₂ + upstream CO₂e + manufacturing (tCO₂e/yr). Right (EV): electricity use‑phase CO₂e + battery + vehicle manufacturing (tCO₂e/yr). Compare these to judge annual GHG impact.</t>
  </si>
  <si>
    <t>ICE CO₂ intensity (g/km)</t>
  </si>
  <si>
    <t>Average CO₂ per kilometre for the diesel fleet.</t>
  </si>
  <si>
    <t>EV scenario</t>
  </si>
  <si>
    <t>Electric vehicles (option). Numbers on the right are for EVs.</t>
  </si>
  <si>
    <t>Delivered kWh/year (at battery)</t>
  </si>
  <si>
    <t>Electricity that reaches the batteries in a year.</t>
  </si>
  <si>
    <t>Meter kWh incl charging losses</t>
  </si>
  <si>
    <t>Electricity taken from the meter (includes charging losses).</t>
  </si>
  <si>
    <t>Gen kWh incl. T&amp;D</t>
  </si>
  <si>
    <t>Electricity generated, including grid losses (T&amp;D).</t>
  </si>
  <si>
    <t>Use-phase CO₂ (t/yr)</t>
  </si>
  <si>
    <t>Climate pollution from using electricity. Depends on grid vs renewables.</t>
  </si>
  <si>
    <t>Battery manuf. (t/yr, amortized)</t>
  </si>
  <si>
    <t>Pollution from making the batteries, spread over years.</t>
  </si>
  <si>
    <t>Vehicle manuf. excl. battery (t/yr)</t>
  </si>
  <si>
    <t>Pollution from building the EV (without the battery).</t>
  </si>
  <si>
    <t>EV total GHG (tCO2e/yr)</t>
  </si>
  <si>
    <t>Total annual greenhouse gas emissions from electric vehicles, expressed in tonnes of CO₂ equivalent per year.</t>
  </si>
  <si>
    <t>EV CO₂ intensity (g/km)</t>
  </si>
  <si>
    <t>Average CO₂ per kilometre for the EV fleet.</t>
  </si>
  <si>
    <t>EV NOx per year. Often 0 at the vehicle.</t>
  </si>
  <si>
    <t>EV PM2.5 per year. Often 0 at the vehicle.</t>
  </si>
  <si>
    <t>Reductions</t>
  </si>
  <si>
    <t>Comparing EV to diesel.</t>
  </si>
  <si>
    <t>How to read the section below: ‘GHG avoided’ = ICE total − EV total. Positive means EV reduces GHG vs ICE. Percent reductions show relative change from the ICE baseline.</t>
  </si>
  <si>
    <t>GHG avoided (t/yr)</t>
  </si>
  <si>
    <t>Climate pollution avoided = Diesel total − EV total. Positive means EV is better.</t>
  </si>
  <si>
    <t>Absolute GHG difference per year: ICE total GHG minus EV total GHG. Positive = EV is lower; negative = EV is higher.</t>
  </si>
  <si>
    <t>NOx avoided (t/yr)</t>
  </si>
  <si>
    <t>NOx avoided. Positive is better.</t>
  </si>
  <si>
    <t>PM2.5 avoided (t/yr)</t>
  </si>
  <si>
    <t>PM2.5 avoided. Positive is better.</t>
  </si>
  <si>
    <t>Percent reductions</t>
  </si>
  <si>
    <t>Percent change vs diesel.</t>
  </si>
  <si>
    <t>GHG (%)</t>
  </si>
  <si>
    <t>Percent GHG reduction. Positive = EV is cleaner.</t>
  </si>
  <si>
    <t>Relative GHG change vs ICE. Computed from annual totals (EV vs ICE). Positive = reduction vs ICE baseline.</t>
  </si>
  <si>
    <t>NOx (%)</t>
  </si>
  <si>
    <t>Percent NOx reduction. Positive = EV is cleaner.</t>
  </si>
  <si>
    <t>Relative NOx change vs ICE. Positive = reduction in NOx with EV scenario.</t>
  </si>
  <si>
    <t>PM2.5 (%)</t>
  </si>
  <si>
    <t>Percent PM2.5 reduction. Positive = EV is cleaner.</t>
  </si>
  <si>
    <t>Relative PM2.5 change vs ICE. Positive = reduction in PM2.5 with EV scenario.</t>
  </si>
  <si>
    <t>Per-vehicle metrics</t>
  </si>
  <si>
    <t>Per vehicle (left) and per km (right). Helps compare techs regardless of fleet size.</t>
  </si>
  <si>
    <t>Left panel shows per‑vehicle annual metrics (e.g., liters or kWh per vehicle per year, total GHG per vehicle per year). Right panel shows per‑km intensities (g/km) to compare technologies independent of fleet size.</t>
  </si>
  <si>
    <t>ICE liters/veh/yr</t>
  </si>
  <si>
    <t>Diesel used by one diesel vehicle per year.</t>
  </si>
  <si>
    <t>Average diesel liters consumed by one ICE vehicle per year. On the right: ICE tailpipe intensity per km (g CO₂/km).</t>
  </si>
  <si>
    <t>ICE total GHG (tCO2e/veh/yr)</t>
  </si>
  <si>
    <t>Total GHG from one diesel vehicle per year (tCO₂e/veh/yr).</t>
  </si>
  <si>
    <t>Total annual GHG per ICE vehicle (tCO₂e/veh/yr). On the right: ICE upstream g/km and manufacturing g/km components.</t>
  </si>
  <si>
    <t>EV delivered kWh/veh/yr</t>
  </si>
  <si>
    <t>kWh delivered to one EV battery per year.</t>
  </si>
  <si>
    <t>Average delivered kWh to the EV battery per vehicle per year. On the right: EV use‑phase g/km from electricity.</t>
  </si>
  <si>
    <t>EV total GHG (tCO2e/veh/yr)</t>
  </si>
  <si>
    <t>Total GHG from one EV per year (tCO₂e/veh/yr).</t>
  </si>
  <si>
    <t>Total annual GHG per EV vehicle (tCO₂e/veh/yr). On the right: EV manufacturing g/km (battery + vehicle).</t>
  </si>
  <si>
    <t>GHG intensity delta (g/km) — ICE minus EV</t>
  </si>
  <si>
    <t>GHG difference per km (diesel − EV). Positive: EV cleaner.</t>
  </si>
  <si>
    <t>Per‑km GHG gap (ICE minus EV). Positive numbers mean EV is cleaner on a g/km basis; negative means EV is worse.</t>
  </si>
  <si>
    <t>ICE NOx (g/km)</t>
  </si>
  <si>
    <t>ICE NOx (g/km). Computed from fleet‑year NOx divided by fleet‑year km.</t>
  </si>
  <si>
    <t>ICE NOx intensity (g/km).</t>
  </si>
  <si>
    <t>EV NOx (g/km)</t>
  </si>
  <si>
    <t>EV NOx (g/km). Often zero at vehicle tailpipe; can include generation values if you provide them.</t>
  </si>
  <si>
    <t>EV NOx intensity (g/km). If you supplied EV NOx EF (g/kWh) it’s reflected here; otherwise it may be zero.</t>
  </si>
  <si>
    <t>ICE PM2.5 (g/km)</t>
  </si>
  <si>
    <t>ICE PM2.5 (g/km). Computed from fleet‑year PM2.5 divided by fleet‑year km.</t>
  </si>
  <si>
    <t>ICE PM2.5 intensity (g/km).</t>
  </si>
  <si>
    <t>EV PM2.5 (g/km)</t>
  </si>
  <si>
    <t>EV PM2.5 (g/km). Often zero at vehicle tailpipe; can include generation values if you provide them.</t>
  </si>
  <si>
    <t>EV PM2.5 intensity (g/km). If you supplied EV PM EF (g/kWh) it’s reflected here; otherwise it may be zero.</t>
  </si>
  <si>
    <t>Per‑km components (g/km)</t>
  </si>
  <si>
    <t>Per‑km breakdown. Shows which part drives the footprint.</t>
  </si>
  <si>
    <t>ICE tailpipe g/km</t>
  </si>
  <si>
    <t>CO₂ from burning diesel per km.</t>
  </si>
  <si>
    <t>ICE upstream g/km</t>
  </si>
  <si>
    <t>Extra pollution from making &amp; moving diesel per km.</t>
  </si>
  <si>
    <t>ICE manufacturing g/km</t>
  </si>
  <si>
    <t>Vehicle manufacturing per km (diesel).</t>
  </si>
  <si>
    <t>EV use‑phase g/km</t>
  </si>
  <si>
    <t>Electricity use per km (EV).</t>
  </si>
  <si>
    <t>EV manufacturing g/km (veh+batt)</t>
  </si>
  <si>
    <t>Vehicle + battery manufacturing per km (EV).</t>
  </si>
  <si>
    <t>Conditional Go/Maybe/No-Go Decision</t>
  </si>
  <si>
    <t>GO if the EV’s emissions are 5% or more lower than ICE, MAYBE if the EV is within ±5% of ICE, NO-GO if the EV is more than 5% higher than ICE</t>
  </si>
  <si>
    <t>Total GHG</t>
  </si>
  <si>
    <t>Per-km intensity</t>
  </si>
  <si>
    <t>Per-vehicle impact</t>
  </si>
  <si>
    <t>ICE total GHG (tCO₂e/veh/yr)</t>
  </si>
  <si>
    <t>EV total GHG (tCO₂e/veh/yr)</t>
  </si>
  <si>
    <t>Section</t>
  </si>
  <si>
    <t>Item</t>
  </si>
  <si>
    <t>What it means (plain language)</t>
  </si>
  <si>
    <t>In the model (sheet!cell)</t>
  </si>
  <si>
    <t>What you do</t>
  </si>
  <si>
    <t>Where to get this info</t>
  </si>
  <si>
    <t>How the model uses it (logic + figures)</t>
  </si>
  <si>
    <t>PROJECT &amp; UTILISATION</t>
  </si>
  <si>
    <t>How many minibuses are modelled.</t>
  </si>
  <si>
    <t>C0_Inputs!C8</t>
  </si>
  <si>
    <t>Enter fleet size.</t>
  </si>
  <si>
    <t>Operations plan / roster.</t>
  </si>
  <si>
    <t>Used to scale all annual results. Current used: **50**.</t>
  </si>
  <si>
    <t>C0_Inputs!C9</t>
  </si>
  <si>
    <t>Enter realistic operating days.</t>
  </si>
  <si>
    <t>Dispatch logs; KPI reports.</t>
  </si>
  <si>
    <t>Annual km/veh = Days × Daily km. Current used: **300 days/yr**.</t>
  </si>
  <si>
    <t>Average distance per vehicle per day.</t>
  </si>
  <si>
    <t>C0_Inputs!C10</t>
  </si>
  <si>
    <t>Enter typical route km/day.</t>
  </si>
  <si>
    <t>Telematics; duty sheets.</t>
  </si>
  <si>
    <t>Annual km/veh = **54,000** (with 300 × 180). Fleet annual km = **2,700,000** (with 50 veh).</t>
  </si>
  <si>
    <t>ICE (DIESEL) PARAMETERS</t>
  </si>
  <si>
    <t>Average fuel economy for diesel minibuses.</t>
  </si>
  <si>
    <t>C0_Inputs!C15</t>
  </si>
  <si>
    <t>Enter L/100 km.</t>
  </si>
  <si>
    <t>OEM spec; test runs; logbooks.</t>
  </si>
  <si>
    <t>Per‑km litres = value ÷ 100. Current used: **10 L/100km → 0.10 L/km**.</t>
  </si>
  <si>
    <t>Tailpipe CO₂ per litre of diesel (TTW).</t>
  </si>
  <si>
    <t>C0_Inputs!C16</t>
  </si>
  <si>
    <t>Use country factor if available.</t>
  </si>
  <si>
    <t>IPCC/DEFRA; local standards.</t>
  </si>
  <si>
    <t>Tailpipe per‑km = litres/km × factor. Current used: **2.4796 kg/L → 247.96 g/km**.</t>
  </si>
  <si>
    <t>Upstream diesel EF (kg CO₂e/L)</t>
  </si>
  <si>
    <t>Well‑to‑tank CO₂e per litre (extraction/refining/distribution).</t>
  </si>
  <si>
    <t>C0_Inputs!C17</t>
  </si>
  <si>
    <t>Use regional WTT factor.</t>
  </si>
  <si>
    <t>ICCT/DEFRA; LCA studies.</t>
  </si>
  <si>
    <t>Upstream per‑km = litres/km × factor. Current used: **0.61 kg/L → 61 g/km**.</t>
  </si>
  <si>
    <t>Tailpipe NOx per km for diesel.</t>
  </si>
  <si>
    <t>C0_Inputs!C18</t>
  </si>
  <si>
    <t>Enter g/km.</t>
  </si>
  <si>
    <t>Emission testing; Euro class tables.</t>
  </si>
  <si>
    <t>Scales to fleet NOx (kg/yr). Current used: **8 g/km**.</t>
  </si>
  <si>
    <t>Tailpipe PM2.5 per km for diesel.</t>
  </si>
  <si>
    <t>C0_Inputs!C19</t>
  </si>
  <si>
    <t>Emission testing; literature.</t>
  </si>
  <si>
    <t>Scales to fleet PM2.5 (kg/yr). Current used: **0.1 g/km**.</t>
  </si>
  <si>
    <t>EV PARAMETERS &amp; GRID</t>
  </si>
  <si>
    <t>Battery energy per km at the vehicle (B2W).</t>
  </si>
  <si>
    <t>C0_Inputs!C23</t>
  </si>
  <si>
    <t>Enter measured/expected kWh/km.</t>
  </si>
  <si>
    <t>OEM spec; logged duty runs.</t>
  </si>
  <si>
    <t>Battery kWh/year = kWh/km × annual km. Current used: **1.1 kWh/km** → **2,970,000 kWh/yr** (battery).</t>
  </si>
  <si>
    <t>Plug‑to‑battery efficiency (charger + BMS).</t>
  </si>
  <si>
    <t>C0_Inputs!C24</t>
  </si>
  <si>
    <t>Enter charger/system efficiency.</t>
  </si>
  <si>
    <t>Charger/OEM spec; site tests.</t>
  </si>
  <si>
    <t>Meter kWh = battery kWh ÷ efficiency. Current used: **0.90** → **3,300,000 kWh/yr** at meter.</t>
  </si>
  <si>
    <t>Transmission &amp; distribution losses on the grid.</t>
  </si>
  <si>
    <t>C0_Inputs!C28</t>
  </si>
  <si>
    <t>Enter the loss percent.</t>
  </si>
  <si>
    <t>Utility regulator; utility data.</t>
  </si>
  <si>
    <t>Generation kWh = meter kWh ÷ (1 − loss). Current used: **12%** → **3,750,000 kWh/yr** at generation.</t>
  </si>
  <si>
    <t>Average grid intensity (kg CO₂ per kWh).</t>
  </si>
  <si>
    <t>C0_Inputs!C25</t>
  </si>
  <si>
    <t>Use national/utility average or marginal.</t>
  </si>
  <si>
    <t>National GHG inventory; utility reports.</t>
  </si>
  <si>
    <t>EF applied at **generation** after mixing with renewables (see below). Current used: **0.8665 kg/kWh**.</t>
  </si>
  <si>
    <t>Share of kWh contracted from renewables.</t>
  </si>
  <si>
    <t>C0_Inputs!C26</t>
  </si>
  <si>
    <t>Enter % of energy from renewables.</t>
  </si>
  <si>
    <t>PPA/contract; supplier attestations.</t>
  </si>
  <si>
    <t>Effective EF = (1 − share)×Grid EF + share×Renewables EF. Current used: **70%** renewables.</t>
  </si>
  <si>
    <t>Emission factor for the renewable portion (often 0).</t>
  </si>
  <si>
    <t>C0_Inputs!C27</t>
  </si>
  <si>
    <t>Enter EF if non‑zero (e.g., biomass).</t>
  </si>
  <si>
    <t>LCA of the renewable source.</t>
  </si>
  <si>
    <t>Current used: **0 kg/kWh** → **Effective grid EF = 0.25995 kg/kWh**.</t>
  </si>
  <si>
    <t>Grid NOx / PM2.5 (g/kWh) [optional]</t>
  </si>
  <si>
    <t>Upstream air pollutants for grid generation.</t>
  </si>
  <si>
    <t>C0_Inputs!C29:C30</t>
  </si>
  <si>
    <t>Enter if you want grid‑related NOx/PM included.</t>
  </si>
  <si>
    <t>Utility emission reports; LCA.</t>
  </si>
  <si>
    <t>Defaults to **0** (i.e., no grid NOx/PM unless entered).</t>
  </si>
  <si>
    <t>MANUFACTURING (AMORTIZED)</t>
  </si>
  <si>
    <t>Include battery manufacturing?</t>
  </si>
  <si>
    <t>Toggle to include/exclude battery manufacturing.</t>
  </si>
  <si>
    <t>C0_Inputs!C34</t>
  </si>
  <si>
    <t>Select Yes/No.</t>
  </si>
  <si>
    <t>Study scope decision.</t>
  </si>
  <si>
    <t>Current used: **Yes**.</t>
  </si>
  <si>
    <t>Pack size used for manufacturing footprint.</t>
  </si>
  <si>
    <t>C0_Inputs!C35</t>
  </si>
  <si>
    <t>Enter pack size.</t>
  </si>
  <si>
    <t>OEM spec; datasheet.</t>
  </si>
  <si>
    <t>Battery manuf. CO₂e = size × EF; amortized over battery life. Current used: **120 kWh**.</t>
  </si>
  <si>
    <t>Manufacturing footprint per kWh of battery.</t>
  </si>
  <si>
    <t>C0_Inputs!C36</t>
  </si>
  <si>
    <t>Enter kg/kWh from LCA/peer‑reviewed sources.</t>
  </si>
  <si>
    <t>LCA studies; supplier EPDs.</t>
  </si>
  <si>
    <t>Current used: **90 kg/kWh** → one pack = **10.8 t CO₂e**.</t>
  </si>
  <si>
    <t>Years over which battery manufacturing is spread.</t>
  </si>
  <si>
    <t>C0_Inputs!C37</t>
  </si>
  <si>
    <t>Enter expected battery life.</t>
  </si>
  <si>
    <t>Warranty; fleet experience.</t>
  </si>
  <si>
    <t>Current used: **8 years** → **1.35 t/veh/yr** for 120 kWh pack.</t>
  </si>
  <si>
    <t>Include vehicle manufacturing?</t>
  </si>
  <si>
    <t>Toggle to include base vehicle (excl. battery).</t>
  </si>
  <si>
    <t>C0_Inputs!C39</t>
  </si>
  <si>
    <t>Vehicle lifetime (years)</t>
  </si>
  <si>
    <t>Years to amortize vehicle manufacturing.</t>
  </si>
  <si>
    <t>C0_Inputs!C40</t>
  </si>
  <si>
    <t>Enter useful life for amortization.</t>
  </si>
  <si>
    <t>Fleet policy; depreciation policy.</t>
  </si>
  <si>
    <t>Current used: **8 years** (note: default column shows 10; the model uses **8**).</t>
  </si>
  <si>
    <t>One‑off manufacturing footprint per diesel vehicle.</t>
  </si>
  <si>
    <t>C0_Inputs!C41</t>
  </si>
  <si>
    <t>Enter t/vehicle.</t>
  </si>
  <si>
    <t>EPD/LCA/benchmark studies.</t>
  </si>
  <si>
    <t>Current used: **7 t/veh** → **43.75 t/yr** for fleet (with 50 veh &amp; 8‑year amortization).</t>
  </si>
  <si>
    <t>EV manuf. excl. battery (t CO₂e/vehicle)</t>
  </si>
  <si>
    <t>One‑off manufacturing footprint per EV (without battery).</t>
  </si>
  <si>
    <t>C0_Inputs!C42</t>
  </si>
  <si>
    <t>Current used: **8 t/veh** → **50 t/yr** for fleet (with 50 veh &amp; 8‑year amortization).</t>
  </si>
  <si>
    <t>HOW TOTALS ARE BUILT (YEARLY, FLEET)</t>
  </si>
  <si>
    <t>ICE totals (tCO₂e/yr)</t>
  </si>
  <si>
    <t>Tailpipe + upstream fuel + manufacturing (amortized).</t>
  </si>
  <si>
    <t>C1_Emissions!B14</t>
  </si>
  <si>
    <t>No action — calculated.</t>
  </si>
  <si>
    <t>—</t>
  </si>
  <si>
    <t>With current inputs: **877.94 tCO₂e/yr** (tailpipe **669.49**, upstream **164.70**, manuf **43.75**).</t>
  </si>
  <si>
    <t>EV totals (tCO₂e/yr)</t>
  </si>
  <si>
    <t>Use‑phase electricity + battery manuf + vehicle manuf.</t>
  </si>
  <si>
    <t>C1_Emissions!B24</t>
  </si>
  <si>
    <t>With current inputs: **1092.31 tCO₂e/yr** (use‑phase **974.81**, battery **67.5**, vehicle **50**).</t>
  </si>
  <si>
    <t>Per‑km intensities (g/km)</t>
  </si>
  <si>
    <t>Totals above divided by fleet annual km.</t>
  </si>
  <si>
    <t>C1_Emissions!B15, B25, B55, B56</t>
  </si>
  <si>
    <t>ICE **325.16 g/km**; EV **404.56 g/km**; EV use‑phase **361.04 g/km**; EV manuf (veh+batt) **43.52 g/km**.</t>
  </si>
  <si>
    <t>DECISION &amp; DASHBOARD</t>
  </si>
  <si>
    <t>Traffic‑light (Conditional Go/Maybe/No‑Go)</t>
  </si>
  <si>
    <t>Compares EV vs ICE annual GHG with a tolerance.</t>
  </si>
  <si>
    <t>Dashboard!B2</t>
  </si>
  <si>
    <t>GO if EV ≤ ICE × 0.95; MAYBE if within ±5%; NO‑GO if EV ≥ ICE × 1.05 (tolerance set in the cell).</t>
  </si>
  <si>
    <t>Dashboard roll‑ups</t>
  </si>
  <si>
    <t>High‑level KPIs linked to C1_Emissions.</t>
  </si>
  <si>
    <t>Dashboard!B5:B6, B28:B29, B50:B51</t>
  </si>
  <si>
    <t>No action — read‑only.</t>
  </si>
  <si>
    <t>Shows total GHG, per‑km intensity, and per‑vehicle annual GHG by tech.</t>
  </si>
  <si>
    <t>FUEL QUALITY MAPPING (OPTIONAL - affects NOx &amp; PM factors only)</t>
  </si>
  <si>
    <t>Sulphur class</t>
  </si>
  <si>
    <t>Fleet tech</t>
  </si>
  <si>
    <t>NOx mult</t>
  </si>
  <si>
    <t>PM2.5 mult</t>
  </si>
  <si>
    <t>Key</t>
  </si>
  <si>
    <t>Source/notes</t>
  </si>
  <si>
    <t>≤10 ppm (ULSD)</t>
  </si>
  <si>
    <t>Modern after-treatment (DPF/SCR)</t>
  </si>
  <si>
    <t>≤10 ppm (ULSD)|Modern after-treatment (DPF/SCR)</t>
  </si>
  <si>
    <t>Default 1.00. Adjust only with local evidence.</t>
  </si>
  <si>
    <t>Older/no after-treatment</t>
  </si>
  <si>
    <t>≤10 ppm (ULSD)|Older/no after-treatment</t>
  </si>
  <si>
    <t>Conservative placeholder (PM uplift). Replace with local emission factors if available.</t>
  </si>
  <si>
    <t>≤10 ppm (ULSD)|Unknown/mixed</t>
  </si>
  <si>
    <t>≤50 ppm (LSD)</t>
  </si>
  <si>
    <t>≤50 ppm (LSD)|Modern after-treatment (DPF/SCR)</t>
  </si>
  <si>
    <t>≤50 ppm (LSD)|Older/no after-treatment</t>
  </si>
  <si>
    <t>≤50 ppm (LSD)|Unknown/mixed</t>
  </si>
  <si>
    <t>&gt;50 ppm</t>
  </si>
  <si>
    <t>&gt;50 ppm|Modern after-treatment (DPF/SCR)</t>
  </si>
  <si>
    <t>&gt;50 ppm|Older/no after-treatment</t>
  </si>
  <si>
    <t>&gt;50 ppm|Unknown/mixed</t>
  </si>
  <si>
    <t>Unknown|Modern after-treatment (DPF/SCR)</t>
  </si>
  <si>
    <t>Unknown|Older/no after-treatment</t>
  </si>
  <si>
    <t>Unknown|Unknown/mixed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</si>
</sst>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Calibri"/>
      <scheme val="minor"/>
    </font>
    <font>
      <sz val="11"/>
      <color rgb="FFFFFFFF"/>
      <name val="Calibri"/>
    </font>
    <font>
      <b/>
      <sz val="16"/>
      <color rgb="FFFFFFFF"/>
      <name val="Calibri"/>
    </font>
    <font>
      <sz val="11"/>
      <color rgb="FF000000"/>
      <name val="Calibri"/>
    </font>
    <font>
      <b/>
      <sz val="12"/>
      <color theme="1"/>
      <name val="Calibri"/>
    </font>
    <font>
      <sz val="11"/>
      <color theme="1"/>
      <name val="Calibri"/>
    </font>
    <font>
      <b/>
      <sz val="14"/>
      <color rgb="FFFFFFFF"/>
      <name val="Calibri"/>
    </font>
    <font>
      <sz val="11"/>
      <color theme="0"/>
      <name val="Calibri"/>
    </font>
    <font>
      <i/>
      <sz val="11"/>
      <color theme="0"/>
      <name val="Calibri"/>
    </font>
    <font>
      <b/>
      <sz val="11"/>
      <color theme="0"/>
      <name val="Calibri"/>
    </font>
    <font>
      <b/>
      <sz val="11"/>
      <color theme="1"/>
      <name val="Calibri"/>
    </font>
    <font>
      <sz val="11"/>
      <color theme="1"/>
      <name val="Calibri"/>
      <scheme val="minor"/>
    </font>
    <font>
      <b/>
      <sz val="14"/>
      <color theme="0"/>
      <name val="Calibri"/>
    </font>
    <font>
      <i/>
      <sz val="11"/>
      <color theme="1"/>
      <name val="Calibri"/>
    </font>
    <font>
      <b/>
      <sz val="11"/>
      <color rgb="FFFFFFFF"/>
      <name val="Calibri"/>
    </font>
    <font>
      <sz val="11"/>
      <color rgb="FFFFFFFF"/>
      <name val="Calibri"/>
    </font>
  </fonts>
  <fills count="9">
    <fill>
      <patternFill patternType="none"/>
    </fill>
    <fill>
      <patternFill patternType="gray125"/>
    </fill>
    <fill>
      <patternFill patternType="solid">
        <fgColor rgb="FF002060"/>
        <bgColor rgb="FF002060"/>
      </patternFill>
    </fill>
    <fill>
      <patternFill patternType="solid">
        <fgColor rgb="FFDAEEF3"/>
        <bgColor rgb="FFDAEEF3"/>
      </patternFill>
    </fill>
    <fill>
      <patternFill patternType="solid">
        <fgColor rgb="FFFFFFCC"/>
        <bgColor rgb="FFFFFFCC"/>
      </patternFill>
    </fill>
    <fill>
      <patternFill patternType="solid">
        <fgColor rgb="FFF0FFF0"/>
        <bgColor rgb="FFF0FFF0"/>
      </patternFill>
    </fill>
    <fill>
      <patternFill patternType="solid">
        <fgColor rgb="FFF7F7F7"/>
        <bgColor rgb="FFF7F7F7"/>
      </patternFill>
    </fill>
    <fill>
      <patternFill patternType="solid">
        <fgColor rgb="FFFFFFFF"/>
        <bgColor rgb="FFFFFFFF"/>
      </patternFill>
    </fill>
    <fill>
      <patternFill patternType="solid">
        <fgColor rgb="FFF2F2F2"/>
        <bgColor rgb="FFF2F2F2"/>
      </patternFill>
    </fill>
  </fills>
  <borders count="5">
    <border>
      <left/>
      <right/>
      <top/>
      <bottom/>
      <diagonal/>
    </border>
    <border>
      <left/>
      <right/>
      <top/>
      <bottom/>
      <diagonal/>
    </border>
    <border>
      <left style="thin">
        <color rgb="FFDDDDDD"/>
      </left>
      <right style="thin">
        <color rgb="FFDDDDDD"/>
      </right>
      <top style="thin">
        <color rgb="FFDDDDDD"/>
      </top>
      <bottom style="thin">
        <color rgb="FFDDDDDD"/>
      </bottom>
      <diagonal/>
    </border>
    <border>
      <left/>
      <right/>
      <top style="thin">
        <color rgb="FFDDDDDD"/>
      </top>
      <bottom style="thin">
        <color rgb="FFDDDDDD"/>
      </bottom>
      <diagonal/>
    </border>
    <border>
      <left/>
      <right style="thin">
        <color rgb="FFDDDDDD"/>
      </right>
      <top style="thin">
        <color rgb="FFDDDDDD"/>
      </top>
      <bottom style="thin">
        <color rgb="FFDDDDDD"/>
      </bottom>
      <diagonal/>
    </border>
  </borders>
  <cellStyleXfs count="1">
    <xf numFmtId="0" fontId="0" fillId="0" borderId="1"/>
  </cellStyleXfs>
  <cellXfs count="51">
    <xf numFmtId="0" fontId="0" fillId="0" borderId="0" xfId="0" applyBorder="1"/>
    <xf numFmtId="0" fontId="3" fillId="0" borderId="0" xfId="0" applyFont="1" applyBorder="1"/>
    <xf numFmtId="0" fontId="5" fillId="0" borderId="0" xfId="0" applyFont="1" applyBorder="1"/>
    <xf numFmtId="0" fontId="10" fillId="0" borderId="0" xfId="0" applyFont="1" applyBorder="1"/>
    <xf numFmtId="164" fontId="5" fillId="0" borderId="0" xfId="0" applyNumberFormat="1" applyFont="1" applyBorder="1"/>
    <xf numFmtId="2" fontId="5" fillId="0" borderId="0" xfId="0" applyNumberFormat="1" applyFont="1" applyBorder="1"/>
    <xf numFmtId="0" fontId="11" fillId="0" borderId="0" xfId="0" applyFont="1" applyBorder="1"/>
    <xf numFmtId="0" fontId="13" fillId="0" borderId="0" xfId="0" applyFont="1" applyBorder="1" applyAlignment="1">
      <alignment vertical="top" wrapText="1"/>
    </xf>
    <xf numFmtId="0" fontId="5" fillId="0" borderId="0" xfId="0" applyFont="1" applyBorder="1" applyAlignment="1">
      <alignment vertical="top" wrapText="1"/>
    </xf>
    <xf numFmtId="0" fontId="1" fillId="2" borderId="0" xfId="0" applyFont="1" applyFill="1" applyBorder="1" applyAlignment="1">
      <alignment horizontal="center"/>
    </xf>
    <xf numFmtId="0" fontId="7" fillId="2" borderId="0" xfId="0" applyFont="1" applyFill="1" applyBorder="1" applyAlignment="1">
      <alignment horizontal="center"/>
    </xf>
    <xf numFmtId="0" fontId="3" fillId="7" borderId="0" xfId="0" applyFont="1" applyFill="1" applyBorder="1" applyAlignment="1">
      <alignment horizontal="center"/>
    </xf>
    <xf numFmtId="0" fontId="7" fillId="7" borderId="0" xfId="0" applyFont="1" applyFill="1" applyBorder="1" applyAlignment="1">
      <alignment horizontal="center"/>
    </xf>
    <xf numFmtId="0" fontId="11" fillId="4" borderId="0" xfId="0" applyFont="1" applyFill="1" applyBorder="1"/>
    <xf numFmtId="0" fontId="10" fillId="8" borderId="0" xfId="0" applyFont="1" applyFill="1" applyBorder="1"/>
    <xf numFmtId="0" fontId="14" fillId="2" borderId="2" xfId="0" applyFont="1" applyFill="1" applyBorder="1" applyAlignment="1">
      <alignment vertical="top"/>
    </xf>
    <xf numFmtId="0" fontId="3" fillId="0" borderId="2" xfId="0" applyFont="1" applyBorder="1" applyAlignment="1">
      <alignment vertical="top"/>
    </xf>
    <xf numFmtId="0" fontId="6" fillId="2" borderId="1" xfId="0" applyFont="1" applyFill="1"/>
    <xf numFmtId="0" fontId="7" fillId="2" borderId="1" xfId="0" applyFont="1" applyFill="1"/>
    <xf numFmtId="0" fontId="8" fillId="2" borderId="1" xfId="0" applyFont="1" applyFill="1"/>
    <xf numFmtId="0" fontId="9" fillId="2" borderId="1" xfId="0" applyFont="1" applyFill="1"/>
    <xf numFmtId="0" fontId="5" fillId="3" borderId="1" xfId="0" applyFont="1" applyFill="1"/>
    <xf numFmtId="0" fontId="5" fillId="4" borderId="1" xfId="0" applyFont="1" applyFill="1"/>
    <xf numFmtId="0" fontId="5" fillId="5" borderId="1" xfId="0" applyFont="1" applyFill="1"/>
    <xf numFmtId="164" fontId="5" fillId="4" borderId="1" xfId="0" applyNumberFormat="1" applyFont="1" applyFill="1"/>
    <xf numFmtId="2" fontId="5" fillId="4" borderId="1" xfId="0" applyNumberFormat="1" applyFont="1" applyFill="1"/>
    <xf numFmtId="0" fontId="12" fillId="2" borderId="1" xfId="0" applyFont="1" applyFill="1"/>
    <xf numFmtId="0" fontId="5" fillId="6" borderId="1" xfId="0" applyFont="1" applyFill="1" applyAlignment="1">
      <alignment vertical="top" wrapText="1"/>
    </xf>
    <xf numFmtId="0" fontId="5" fillId="6" borderId="1" xfId="0" applyFont="1" applyFill="1"/>
    <xf numFmtId="0" fontId="9" fillId="2" borderId="1" xfId="0" applyFont="1" applyFill="1" applyAlignment="1">
      <alignment vertical="top" wrapText="1"/>
    </xf>
    <xf numFmtId="0" fontId="10" fillId="6" borderId="1" xfId="0" applyFont="1" applyFill="1" applyAlignment="1">
      <alignment vertical="top" wrapText="1"/>
    </xf>
    <xf numFmtId="9" fontId="5" fillId="4" borderId="1" xfId="0" applyNumberFormat="1" applyFont="1" applyFill="1"/>
    <xf numFmtId="0" fontId="5" fillId="2" borderId="1" xfId="0" applyFont="1" applyFill="1"/>
    <xf numFmtId="0" fontId="5" fillId="0" borderId="1" xfId="0" applyFont="1"/>
    <xf numFmtId="0" fontId="5" fillId="5" borderId="1" xfId="0" applyFont="1" applyFill="1" applyAlignment="1">
      <alignment vertical="top" wrapText="1"/>
    </xf>
    <xf numFmtId="2" fontId="3" fillId="0" borderId="2" xfId="0" applyNumberFormat="1" applyFont="1" applyBorder="1" applyAlignment="1">
      <alignment vertical="top"/>
    </xf>
    <xf numFmtId="0" fontId="11" fillId="0" borderId="1" xfId="0" applyFont="1"/>
    <xf numFmtId="0" fontId="15" fillId="5" borderId="1" xfId="0" applyFont="1" applyFill="1" applyAlignment="1">
      <alignment horizontal="left" vertical="center"/>
    </xf>
    <xf numFmtId="0" fontId="0" fillId="0" borderId="1" xfId="0"/>
    <xf numFmtId="0" fontId="2" fillId="2" borderId="1" xfId="0" applyFont="1" applyFill="1" applyAlignment="1">
      <alignment horizontal="center"/>
    </xf>
    <xf numFmtId="0" fontId="0" fillId="0" borderId="0" xfId="0" applyBorder="1"/>
    <xf numFmtId="0" fontId="4" fillId="0" borderId="1" xfId="0" applyFont="1" applyAlignment="1">
      <alignment horizontal="left" vertical="top"/>
    </xf>
    <xf numFmtId="0" fontId="1" fillId="2" borderId="1" xfId="0" applyFont="1" applyFill="1"/>
    <xf numFmtId="0" fontId="5" fillId="0" borderId="1" xfId="0" applyFont="1" applyAlignment="1">
      <alignment horizontal="left" vertical="top" wrapText="1"/>
    </xf>
    <xf numFmtId="0" fontId="5" fillId="0" borderId="1" xfId="0" applyFont="1" applyAlignment="1">
      <alignment horizontal="left" vertical="top"/>
    </xf>
    <xf numFmtId="0" fontId="9" fillId="2" borderId="1" xfId="0" applyFont="1" applyFill="1"/>
    <xf numFmtId="0" fontId="0" fillId="0" borderId="1" xfId="0"/>
    <xf numFmtId="0" fontId="7" fillId="2" borderId="1" xfId="0" applyFont="1" applyFill="1" applyAlignment="1">
      <alignment horizontal="center"/>
    </xf>
    <xf numFmtId="0" fontId="14" fillId="2" borderId="2" xfId="0" applyFont="1" applyFill="1" applyBorder="1" applyAlignment="1">
      <alignment vertical="top"/>
    </xf>
    <xf numFmtId="0" fontId="0" fillId="0" borderId="3" xfId="0" applyBorder="1"/>
    <xf numFmtId="0" fontId="0" fillId="0" borderId="4" xfId="0" applyBorder="1"/>
  </cellXfs>
  <cellStyles count="1">
    <cellStyle name="Normal" xfId="0" builtinId="0"/>
  </cellStyles>
  <dxfs count="2">
    <dxf>
      <fill>
        <patternFill patternType="solid">
          <fgColor rgb="FFF8CBAD"/>
          <bgColor rgb="FFF8CBAD"/>
        </patternFill>
      </fill>
    </dxf>
    <dxf>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 ICE vs EV. Total GHG</a:t>
            </a:r>
          </a:p>
        </c:rich>
      </c:tx>
      <c:overlay val="0"/>
    </c:title>
    <c:autoTitleDeleted val="0"/>
    <c:plotArea>
      <c:layout/>
      <c:barChart>
        <c:barDir val="col"/>
        <c:grouping val="clustered"/>
        <c:varyColors val="1"/>
        <c:ser>
          <c:idx val="0"/>
          <c:order val="0"/>
          <c:tx>
            <c:strRef>
              <c:f>Dashboard!$B$4</c:f>
              <c:strCache>
                <c:ptCount val="1"/>
              </c:strCache>
            </c:strRef>
          </c:tx>
          <c:spPr>
            <a:solidFill>
              <a:srgbClr val="4F81BD"/>
            </a:solidFill>
            <a:ln cmpd="sng">
              <a:solidFill>
                <a:srgbClr val="000000"/>
              </a:solidFill>
              <a:prstDash val="solid"/>
            </a:ln>
          </c:spPr>
          <c:invertIfNegative val="1"/>
          <c:cat>
            <c:strRef>
              <c:f>Dashboard!$A$5:$A$6</c:f>
              <c:strCache>
                <c:ptCount val="2"/>
                <c:pt idx="0">
                  <c:v>ICE total GHG (tCO2e/yr)</c:v>
                </c:pt>
                <c:pt idx="1">
                  <c:v>EV total GHG (tCO2e/yr)</c:v>
                </c:pt>
              </c:strCache>
            </c:strRef>
          </c:cat>
          <c:val>
            <c:numRef>
              <c:f>Dashboard!$B$5:$B$6</c:f>
              <c:numCache>
                <c:formatCode>General</c:formatCode>
                <c:ptCount val="2"/>
                <c:pt idx="0">
                  <c:v>373.83</c:v>
                </c:pt>
                <c:pt idx="1">
                  <c:v>264.375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0-1CF9-4B48-AF9A-1FDDE3E81C61}"/>
            </c:ext>
          </c:extLst>
        </c:ser>
        <c:dLbls>
          <c:showLegendKey val="0"/>
          <c:showVal val="0"/>
          <c:showCatName val="0"/>
          <c:showSerName val="0"/>
          <c:showPercent val="0"/>
          <c:showBubbleSize val="0"/>
        </c:dLbls>
        <c:gapWidth val="150"/>
        <c:axId val="796720197"/>
        <c:axId val="198074576"/>
      </c:barChart>
      <c:catAx>
        <c:axId val="796720197"/>
        <c:scaling>
          <c:orientation val="minMax"/>
        </c:scaling>
        <c:delete val="0"/>
        <c:axPos val="b"/>
        <c:title>
          <c:tx>
            <c:rich>
              <a:bodyPr/>
              <a:lstStyle/>
              <a:p>
                <a:pPr lvl="0">
                  <a:defRPr b="0">
                    <a:solidFill>
                      <a:srgbClr val="000000"/>
                    </a:solidFill>
                    <a:latin typeface="+mn-lt"/>
                  </a:defRPr>
                </a:pPr>
                <a:r>
                  <a:rPr lang="en-US" b="0">
                    <a:solidFill>
                      <a:srgbClr val="000000"/>
                    </a:solidFill>
                    <a:latin typeface="+mn-lt"/>
                  </a:rPr>
                  <a:t>Total GHG</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RW"/>
          </a:p>
        </c:txPr>
        <c:crossAx val="198074576"/>
        <c:crosses val="autoZero"/>
        <c:auto val="1"/>
        <c:lblAlgn val="ctr"/>
        <c:lblOffset val="100"/>
        <c:noMultiLvlLbl val="1"/>
      </c:catAx>
      <c:valAx>
        <c:axId val="198074576"/>
        <c:scaling>
          <c:orientation val="minMax"/>
        </c:scaling>
        <c:delete val="0"/>
        <c:axPos val="l"/>
        <c:majorGridlines>
          <c:spPr>
            <a:ln>
              <a:solidFill>
                <a:srgbClr val="B7B7B7"/>
              </a:solidFill>
              <a:prstDash val="solid"/>
            </a:ln>
          </c:spPr>
        </c:majorGridlines>
        <c:minorGridlines>
          <c:spPr>
            <a:ln>
              <a:solidFill>
                <a:srgbClr val="CCCCCC"/>
              </a:solidFill>
              <a:prstDash val="solid"/>
            </a:ln>
          </c:spPr>
        </c:minorGridlines>
        <c:title>
          <c:tx>
            <c:rich>
              <a:bodyPr/>
              <a:lstStyle/>
              <a:p>
                <a:pPr lvl="0">
                  <a:defRPr b="0">
                    <a:solidFill>
                      <a:srgbClr val="000000"/>
                    </a:solidFill>
                    <a:latin typeface="+mn-lt"/>
                  </a:defRPr>
                </a:pPr>
                <a:r>
                  <a:rPr lang="en-ZA"/>
                  <a:t>None</a:t>
                </a:r>
              </a:p>
            </c:rich>
          </c:tx>
          <c:overlay val="0"/>
        </c:title>
        <c:numFmt formatCode="General" sourceLinked="1"/>
        <c:majorTickMark val="none"/>
        <c:minorTickMark val="none"/>
        <c:tickLblPos val="nextTo"/>
        <c:spPr>
          <a:ln>
            <a:prstDash val="solid"/>
          </a:ln>
        </c:spPr>
        <c:txPr>
          <a:bodyPr/>
          <a:lstStyle/>
          <a:p>
            <a:pPr lvl="0">
              <a:defRPr b="0">
                <a:solidFill>
                  <a:srgbClr val="000000"/>
                </a:solidFill>
                <a:latin typeface="+mn-lt"/>
              </a:defRPr>
            </a:pPr>
            <a:endParaRPr lang="en-RW"/>
          </a:p>
        </c:txPr>
        <c:crossAx val="796720197"/>
        <c:crosses val="autoZero"/>
        <c:crossBetween val="between"/>
      </c:valAx>
    </c:plotArea>
    <c:legend>
      <c:legendPos val="r"/>
      <c:overlay val="0"/>
      <c:txPr>
        <a:bodyPr/>
        <a:lstStyle/>
        <a:p>
          <a:pPr lvl="0">
            <a:defRPr b="0">
              <a:solidFill>
                <a:srgbClr val="1A1A1A"/>
              </a:solidFill>
              <a:latin typeface="+mn-lt"/>
            </a:defRPr>
          </a:pPr>
          <a:endParaRPr lang="en-RW"/>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 ICE vs EV Per-km intensity</a:t>
            </a:r>
          </a:p>
        </c:rich>
      </c:tx>
      <c:overlay val="0"/>
    </c:title>
    <c:autoTitleDeleted val="0"/>
    <c:plotArea>
      <c:layout/>
      <c:barChart>
        <c:barDir val="bar"/>
        <c:grouping val="clustered"/>
        <c:varyColors val="1"/>
        <c:ser>
          <c:idx val="0"/>
          <c:order val="0"/>
          <c:tx>
            <c:strRef>
              <c:f>Dashboard!$B$27</c:f>
              <c:strCache>
                <c:ptCount val="1"/>
              </c:strCache>
            </c:strRef>
          </c:tx>
          <c:spPr>
            <a:solidFill>
              <a:srgbClr val="4F81BD"/>
            </a:solidFill>
            <a:ln cmpd="sng">
              <a:solidFill>
                <a:srgbClr val="000000"/>
              </a:solidFill>
              <a:prstDash val="solid"/>
            </a:ln>
          </c:spPr>
          <c:invertIfNegative val="1"/>
          <c:cat>
            <c:strRef>
              <c:f>Dashboard!$A$28:$A$29</c:f>
              <c:strCache>
                <c:ptCount val="2"/>
                <c:pt idx="0">
                  <c:v>ICE CO₂ intensity (g/km)</c:v>
                </c:pt>
                <c:pt idx="1">
                  <c:v>EV CO₂ intensity (g/km)</c:v>
                </c:pt>
              </c:strCache>
            </c:strRef>
          </c:cat>
          <c:val>
            <c:numRef>
              <c:f>Dashboard!$B$28:$B$29</c:f>
              <c:numCache>
                <c:formatCode>General</c:formatCode>
                <c:ptCount val="2"/>
                <c:pt idx="0">
                  <c:v>332.29333333333335</c:v>
                </c:pt>
                <c:pt idx="1">
                  <c:v>235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0-BE7B-4CCF-BDE6-01AE8153E4FF}"/>
            </c:ext>
          </c:extLst>
        </c:ser>
        <c:dLbls>
          <c:showLegendKey val="0"/>
          <c:showVal val="0"/>
          <c:showCatName val="0"/>
          <c:showSerName val="0"/>
          <c:showPercent val="0"/>
          <c:showBubbleSize val="0"/>
        </c:dLbls>
        <c:gapWidth val="150"/>
        <c:axId val="654807570"/>
        <c:axId val="1931417627"/>
      </c:barChart>
      <c:catAx>
        <c:axId val="654807570"/>
        <c:scaling>
          <c:orientation val="maxMin"/>
        </c:scaling>
        <c:delete val="0"/>
        <c:axPos val="l"/>
        <c:title>
          <c:tx>
            <c:rich>
              <a:bodyPr/>
              <a:lstStyle/>
              <a:p>
                <a:pPr lvl="0">
                  <a:defRPr b="0">
                    <a:solidFill>
                      <a:srgbClr val="000000"/>
                    </a:solidFill>
                    <a:latin typeface="+mn-lt"/>
                  </a:defRPr>
                </a:pPr>
                <a:r>
                  <a:rPr lang="en-US" b="0">
                    <a:solidFill>
                      <a:srgbClr val="000000"/>
                    </a:solidFill>
                    <a:latin typeface="+mn-lt"/>
                  </a:rPr>
                  <a:t>Per-km intensity</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RW"/>
          </a:p>
        </c:txPr>
        <c:crossAx val="1931417627"/>
        <c:crosses val="autoZero"/>
        <c:auto val="1"/>
        <c:lblAlgn val="ctr"/>
        <c:lblOffset val="100"/>
        <c:noMultiLvlLbl val="1"/>
      </c:catAx>
      <c:valAx>
        <c:axId val="1931417627"/>
        <c:scaling>
          <c:orientation val="minMax"/>
        </c:scaling>
        <c:delete val="0"/>
        <c:axPos val="b"/>
        <c:majorGridlines>
          <c:spPr>
            <a:ln>
              <a:solidFill>
                <a:srgbClr val="B7B7B7"/>
              </a:solidFill>
              <a:prstDash val="solid"/>
            </a:ln>
          </c:spPr>
        </c:majorGridlines>
        <c:minorGridlines>
          <c:spPr>
            <a:ln>
              <a:solidFill>
                <a:srgbClr val="CCCCCC"/>
              </a:solidFill>
              <a:prstDash val="solid"/>
            </a:ln>
          </c:spPr>
        </c:minorGridlines>
        <c:title>
          <c:tx>
            <c:rich>
              <a:bodyPr/>
              <a:lstStyle/>
              <a:p>
                <a:pPr lvl="0">
                  <a:defRPr b="0">
                    <a:solidFill>
                      <a:srgbClr val="000000"/>
                    </a:solidFill>
                    <a:latin typeface="+mn-lt"/>
                  </a:defRPr>
                </a:pPr>
                <a:r>
                  <a:rPr lang="en-ZA"/>
                  <a:t>None</a:t>
                </a:r>
              </a:p>
            </c:rich>
          </c:tx>
          <c:overlay val="0"/>
        </c:title>
        <c:numFmt formatCode="General" sourceLinked="1"/>
        <c:majorTickMark val="none"/>
        <c:minorTickMark val="none"/>
        <c:tickLblPos val="nextTo"/>
        <c:spPr>
          <a:ln>
            <a:prstDash val="solid"/>
          </a:ln>
        </c:spPr>
        <c:txPr>
          <a:bodyPr/>
          <a:lstStyle/>
          <a:p>
            <a:pPr lvl="0">
              <a:defRPr b="0">
                <a:solidFill>
                  <a:srgbClr val="000000"/>
                </a:solidFill>
                <a:latin typeface="+mn-lt"/>
              </a:defRPr>
            </a:pPr>
            <a:endParaRPr lang="en-RW"/>
          </a:p>
        </c:txPr>
        <c:crossAx val="654807570"/>
        <c:crosses val="max"/>
        <c:crossBetween val="between"/>
      </c:valAx>
    </c:plotArea>
    <c:legend>
      <c:legendPos val="r"/>
      <c:overlay val="0"/>
      <c:txPr>
        <a:bodyPr/>
        <a:lstStyle/>
        <a:p>
          <a:pPr lvl="0">
            <a:defRPr b="0">
              <a:solidFill>
                <a:srgbClr val="1A1A1A"/>
              </a:solidFill>
              <a:latin typeface="+mn-lt"/>
            </a:defRPr>
          </a:pPr>
          <a:endParaRPr lang="en-RW"/>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 ICE vs EV Per-vehicle impact</a:t>
            </a:r>
          </a:p>
        </c:rich>
      </c:tx>
      <c:overlay val="0"/>
    </c:title>
    <c:autoTitleDeleted val="0"/>
    <c:plotArea>
      <c:layout/>
      <c:barChart>
        <c:barDir val="col"/>
        <c:grouping val="clustered"/>
        <c:varyColors val="1"/>
        <c:ser>
          <c:idx val="0"/>
          <c:order val="0"/>
          <c:tx>
            <c:strRef>
              <c:f>Dashboard!$B$49</c:f>
              <c:strCache>
                <c:ptCount val="1"/>
              </c:strCache>
            </c:strRef>
          </c:tx>
          <c:spPr>
            <a:solidFill>
              <a:srgbClr val="4F81BD"/>
            </a:solidFill>
            <a:ln cmpd="sng">
              <a:solidFill>
                <a:srgbClr val="000000"/>
              </a:solidFill>
              <a:prstDash val="solid"/>
            </a:ln>
          </c:spPr>
          <c:invertIfNegative val="1"/>
          <c:cat>
            <c:strRef>
              <c:f>Dashboard!$A$50:$A$51</c:f>
              <c:strCache>
                <c:ptCount val="2"/>
                <c:pt idx="0">
                  <c:v>ICE total GHG (tCO₂e/veh/yr)</c:v>
                </c:pt>
                <c:pt idx="1">
                  <c:v>EV total GHG (tCO₂e/veh/yr)</c:v>
                </c:pt>
              </c:strCache>
            </c:strRef>
          </c:cat>
          <c:val>
            <c:numRef>
              <c:f>Dashboard!$B$50:$B$51</c:f>
              <c:numCache>
                <c:formatCode>General</c:formatCode>
                <c:ptCount val="2"/>
                <c:pt idx="0">
                  <c:v>12.461</c:v>
                </c:pt>
                <c:pt idx="1">
                  <c:v>8.8125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0-309A-49A8-9C58-228F5BBEFB3E}"/>
            </c:ext>
          </c:extLst>
        </c:ser>
        <c:dLbls>
          <c:showLegendKey val="0"/>
          <c:showVal val="0"/>
          <c:showCatName val="0"/>
          <c:showSerName val="0"/>
          <c:showPercent val="0"/>
          <c:showBubbleSize val="0"/>
        </c:dLbls>
        <c:gapWidth val="150"/>
        <c:axId val="337383515"/>
        <c:axId val="1460972048"/>
      </c:barChart>
      <c:catAx>
        <c:axId val="337383515"/>
        <c:scaling>
          <c:orientation val="minMax"/>
        </c:scaling>
        <c:delete val="0"/>
        <c:axPos val="b"/>
        <c:title>
          <c:tx>
            <c:rich>
              <a:bodyPr/>
              <a:lstStyle/>
              <a:p>
                <a:pPr lvl="0">
                  <a:defRPr b="0">
                    <a:solidFill>
                      <a:srgbClr val="000000"/>
                    </a:solidFill>
                    <a:latin typeface="+mn-lt"/>
                  </a:defRPr>
                </a:pPr>
                <a:r>
                  <a:rPr lang="en-US" b="0">
                    <a:solidFill>
                      <a:srgbClr val="000000"/>
                    </a:solidFill>
                    <a:latin typeface="+mn-lt"/>
                  </a:rPr>
                  <a:t>Per-vehicle impact</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RW"/>
          </a:p>
        </c:txPr>
        <c:crossAx val="1460972048"/>
        <c:crosses val="autoZero"/>
        <c:auto val="1"/>
        <c:lblAlgn val="ctr"/>
        <c:lblOffset val="100"/>
        <c:noMultiLvlLbl val="1"/>
      </c:catAx>
      <c:valAx>
        <c:axId val="1460972048"/>
        <c:scaling>
          <c:orientation val="minMax"/>
        </c:scaling>
        <c:delete val="0"/>
        <c:axPos val="l"/>
        <c:majorGridlines>
          <c:spPr>
            <a:ln>
              <a:solidFill>
                <a:srgbClr val="B7B7B7"/>
              </a:solidFill>
              <a:prstDash val="solid"/>
            </a:ln>
          </c:spPr>
        </c:majorGridlines>
        <c:minorGridlines>
          <c:spPr>
            <a:ln>
              <a:solidFill>
                <a:srgbClr val="CCCCCC"/>
              </a:solidFill>
              <a:prstDash val="solid"/>
            </a:ln>
          </c:spPr>
        </c:minorGridlines>
        <c:title>
          <c:tx>
            <c:rich>
              <a:bodyPr/>
              <a:lstStyle/>
              <a:p>
                <a:pPr lvl="0">
                  <a:defRPr b="0">
                    <a:solidFill>
                      <a:srgbClr val="000000"/>
                    </a:solidFill>
                    <a:latin typeface="+mn-lt"/>
                  </a:defRPr>
                </a:pPr>
                <a:r>
                  <a:rPr lang="en-ZA"/>
                  <a:t>None</a:t>
                </a:r>
              </a:p>
            </c:rich>
          </c:tx>
          <c:overlay val="0"/>
        </c:title>
        <c:numFmt formatCode="General" sourceLinked="1"/>
        <c:majorTickMark val="none"/>
        <c:minorTickMark val="none"/>
        <c:tickLblPos val="nextTo"/>
        <c:spPr>
          <a:ln>
            <a:prstDash val="solid"/>
          </a:ln>
        </c:spPr>
        <c:txPr>
          <a:bodyPr/>
          <a:lstStyle/>
          <a:p>
            <a:pPr lvl="0">
              <a:defRPr b="0">
                <a:solidFill>
                  <a:srgbClr val="000000"/>
                </a:solidFill>
                <a:latin typeface="+mn-lt"/>
              </a:defRPr>
            </a:pPr>
            <a:endParaRPr lang="en-RW"/>
          </a:p>
        </c:txPr>
        <c:crossAx val="337383515"/>
        <c:crosses val="autoZero"/>
        <c:crossBetween val="between"/>
      </c:valAx>
    </c:plotArea>
    <c:legend>
      <c:legendPos val="r"/>
      <c:overlay val="0"/>
      <c:txPr>
        <a:bodyPr/>
        <a:lstStyle/>
        <a:p>
          <a:pPr lvl="0">
            <a:defRPr b="0">
              <a:solidFill>
                <a:srgbClr val="1A1A1A"/>
              </a:solidFill>
              <a:latin typeface="+mn-lt"/>
            </a:defRPr>
          </a:pPr>
          <a:endParaRPr lang="en-RW"/>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Reductions</a:t>
            </a:r>
          </a:p>
        </c:rich>
      </c:tx>
      <c:overlay val="0"/>
    </c:title>
    <c:autoTitleDeleted val="0"/>
    <c:plotArea>
      <c:layout/>
      <c:barChart>
        <c:barDir val="bar"/>
        <c:grouping val="clustered"/>
        <c:varyColors val="1"/>
        <c:ser>
          <c:idx val="0"/>
          <c:order val="0"/>
          <c:tx>
            <c:strRef>
              <c:f>Dashboard!$B$70</c:f>
              <c:strCache>
                <c:ptCount val="1"/>
              </c:strCache>
            </c:strRef>
          </c:tx>
          <c:spPr>
            <a:solidFill>
              <a:srgbClr val="4F81BD"/>
            </a:solidFill>
            <a:ln cmpd="sng">
              <a:solidFill>
                <a:srgbClr val="000000"/>
              </a:solidFill>
              <a:prstDash val="solid"/>
            </a:ln>
          </c:spPr>
          <c:invertIfNegative val="1"/>
          <c:cat>
            <c:strRef>
              <c:f>Dashboard!$A$71:$A$73</c:f>
              <c:strCache>
                <c:ptCount val="3"/>
                <c:pt idx="0">
                  <c:v>GHG avoided (t/yr)</c:v>
                </c:pt>
                <c:pt idx="1">
                  <c:v>NOx avoided (t/yr)</c:v>
                </c:pt>
                <c:pt idx="2">
                  <c:v>PM2.5 avoided (t/yr)</c:v>
                </c:pt>
              </c:strCache>
            </c:strRef>
          </c:cat>
          <c:val>
            <c:numRef>
              <c:f>Dashboard!$B$71:$B$73</c:f>
              <c:numCache>
                <c:formatCode>General</c:formatCode>
                <c:ptCount val="3"/>
                <c:pt idx="0">
                  <c:v>109.45499999999998</c:v>
                </c:pt>
                <c:pt idx="1">
                  <c:v>9</c:v>
                </c:pt>
                <c:pt idx="2">
                  <c:v>0.1125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0-FBDF-4D9A-8CF4-217279B1C552}"/>
            </c:ext>
          </c:extLst>
        </c:ser>
        <c:dLbls>
          <c:showLegendKey val="0"/>
          <c:showVal val="0"/>
          <c:showCatName val="0"/>
          <c:showSerName val="0"/>
          <c:showPercent val="0"/>
          <c:showBubbleSize val="0"/>
        </c:dLbls>
        <c:gapWidth val="150"/>
        <c:axId val="419755701"/>
        <c:axId val="535681617"/>
      </c:barChart>
      <c:catAx>
        <c:axId val="419755701"/>
        <c:scaling>
          <c:orientation val="maxMin"/>
        </c:scaling>
        <c:delete val="0"/>
        <c:axPos val="l"/>
        <c:title>
          <c:tx>
            <c:rich>
              <a:bodyPr/>
              <a:lstStyle/>
              <a:p>
                <a:pPr lvl="0">
                  <a:defRPr b="0">
                    <a:solidFill>
                      <a:srgbClr val="000000"/>
                    </a:solidFill>
                    <a:latin typeface="+mn-lt"/>
                  </a:defRPr>
                </a:pPr>
                <a:r>
                  <a:rPr lang="en-US" b="0">
                    <a:solidFill>
                      <a:srgbClr val="000000"/>
                    </a:solidFill>
                    <a:latin typeface="+mn-lt"/>
                  </a:rPr>
                  <a:t>Reductions</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RW"/>
          </a:p>
        </c:txPr>
        <c:crossAx val="535681617"/>
        <c:crosses val="autoZero"/>
        <c:auto val="1"/>
        <c:lblAlgn val="ctr"/>
        <c:lblOffset val="100"/>
        <c:noMultiLvlLbl val="1"/>
      </c:catAx>
      <c:valAx>
        <c:axId val="535681617"/>
        <c:scaling>
          <c:orientation val="minMax"/>
        </c:scaling>
        <c:delete val="0"/>
        <c:axPos val="b"/>
        <c:majorGridlines>
          <c:spPr>
            <a:ln>
              <a:solidFill>
                <a:srgbClr val="B7B7B7"/>
              </a:solidFill>
              <a:prstDash val="solid"/>
            </a:ln>
          </c:spPr>
        </c:majorGridlines>
        <c:minorGridlines>
          <c:spPr>
            <a:ln>
              <a:solidFill>
                <a:srgbClr val="CCCCCC"/>
              </a:solidFill>
              <a:prstDash val="solid"/>
            </a:ln>
          </c:spPr>
        </c:minorGridlines>
        <c:title>
          <c:tx>
            <c:rich>
              <a:bodyPr/>
              <a:lstStyle/>
              <a:p>
                <a:pPr lvl="0">
                  <a:defRPr b="0">
                    <a:solidFill>
                      <a:srgbClr val="000000"/>
                    </a:solidFill>
                    <a:latin typeface="+mn-lt"/>
                  </a:defRPr>
                </a:pPr>
                <a:r>
                  <a:rPr lang="en-ZA"/>
                  <a:t>None</a:t>
                </a:r>
              </a:p>
            </c:rich>
          </c:tx>
          <c:overlay val="0"/>
        </c:title>
        <c:numFmt formatCode="General" sourceLinked="1"/>
        <c:majorTickMark val="none"/>
        <c:minorTickMark val="none"/>
        <c:tickLblPos val="nextTo"/>
        <c:spPr>
          <a:ln>
            <a:prstDash val="solid"/>
          </a:ln>
        </c:spPr>
        <c:txPr>
          <a:bodyPr/>
          <a:lstStyle/>
          <a:p>
            <a:pPr lvl="0">
              <a:defRPr b="0">
                <a:solidFill>
                  <a:srgbClr val="000000"/>
                </a:solidFill>
                <a:latin typeface="+mn-lt"/>
              </a:defRPr>
            </a:pPr>
            <a:endParaRPr lang="en-RW"/>
          </a:p>
        </c:txPr>
        <c:crossAx val="419755701"/>
        <c:crosses val="max"/>
        <c:crossBetween val="between"/>
      </c:valAx>
    </c:plotArea>
    <c:legend>
      <c:legendPos val="r"/>
      <c:overlay val="0"/>
      <c:txPr>
        <a:bodyPr/>
        <a:lstStyle/>
        <a:p>
          <a:pPr lvl="0">
            <a:defRPr b="0">
              <a:solidFill>
                <a:srgbClr val="1A1A1A"/>
              </a:solidFill>
              <a:latin typeface="+mn-lt"/>
            </a:defRPr>
          </a:pPr>
          <a:endParaRPr lang="en-RW"/>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76200</xdr:colOff>
      <xdr:row>7</xdr:row>
      <xdr:rowOff>133350</xdr:rowOff>
    </xdr:from>
    <xdr:ext cx="4400550" cy="2714625"/>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0</xdr:colOff>
      <xdr:row>30</xdr:row>
      <xdr:rowOff>133350</xdr:rowOff>
    </xdr:from>
    <xdr:ext cx="4400550" cy="2714625"/>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0</xdr:colOff>
      <xdr:row>52</xdr:row>
      <xdr:rowOff>123825</xdr:rowOff>
    </xdr:from>
    <xdr:ext cx="4400550" cy="2714625"/>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0</xdr:colOff>
      <xdr:row>75</xdr:row>
      <xdr:rowOff>47625</xdr:rowOff>
    </xdr:from>
    <xdr:ext cx="5715000" cy="3533775"/>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9"/>
  <sheetViews>
    <sheetView workbookViewId="0">
      <selection activeCell="A8" sqref="A8:F8"/>
    </sheetView>
  </sheetViews>
  <sheetFormatPr defaultColWidth="14.42578125" defaultRowHeight="15" customHeight="1" x14ac:dyDescent="0.25"/>
  <cols>
    <col min="6" max="6" width="146.5703125" customWidth="1"/>
  </cols>
  <sheetData>
    <row r="1" spans="1:6" ht="14.45" customHeight="1" x14ac:dyDescent="0.25">
      <c r="A1" s="42"/>
      <c r="B1" s="40"/>
      <c r="C1" s="40"/>
      <c r="D1" s="40"/>
      <c r="E1" s="40"/>
      <c r="F1" s="40"/>
    </row>
    <row r="2" spans="1:6" ht="14.45" customHeight="1" x14ac:dyDescent="0.25">
      <c r="A2" s="39" t="s">
        <v>110</v>
      </c>
      <c r="B2" s="40"/>
      <c r="C2" s="40"/>
      <c r="D2" s="40"/>
      <c r="E2" s="40"/>
      <c r="F2" s="40"/>
    </row>
    <row r="3" spans="1:6" ht="15" customHeight="1" x14ac:dyDescent="0.25">
      <c r="A3" s="40"/>
      <c r="B3" s="40"/>
      <c r="C3" s="40"/>
      <c r="D3" s="40"/>
      <c r="E3" s="40"/>
      <c r="F3" s="40"/>
    </row>
    <row r="4" spans="1:6" ht="14.45" customHeight="1" x14ac:dyDescent="0.25">
      <c r="A4" s="1"/>
      <c r="B4" s="1"/>
      <c r="C4" s="1"/>
      <c r="D4" s="1"/>
      <c r="E4" s="1"/>
      <c r="F4" s="1"/>
    </row>
    <row r="5" spans="1:6" ht="15.75" customHeight="1" x14ac:dyDescent="0.25">
      <c r="A5" s="41" t="s">
        <v>111</v>
      </c>
      <c r="B5" s="40"/>
      <c r="C5" s="40"/>
      <c r="D5" s="40"/>
      <c r="E5" s="40"/>
      <c r="F5" s="40"/>
    </row>
    <row r="6" spans="1:6" ht="140.25" customHeight="1" x14ac:dyDescent="0.25">
      <c r="A6" s="43" t="s">
        <v>112</v>
      </c>
      <c r="B6" s="40"/>
      <c r="C6" s="40"/>
      <c r="D6" s="40"/>
      <c r="E6" s="40"/>
      <c r="F6" s="40"/>
    </row>
    <row r="7" spans="1:6" ht="14.45" customHeight="1" x14ac:dyDescent="0.25">
      <c r="A7" s="1"/>
      <c r="B7" s="1"/>
      <c r="C7" s="1"/>
      <c r="D7" s="1"/>
      <c r="E7" s="1"/>
      <c r="F7" s="1"/>
    </row>
    <row r="8" spans="1:6" ht="15.75" customHeight="1" x14ac:dyDescent="0.25">
      <c r="A8" s="41" t="s">
        <v>113</v>
      </c>
      <c r="B8" s="40"/>
      <c r="C8" s="40"/>
      <c r="D8" s="40"/>
      <c r="E8" s="40"/>
      <c r="F8" s="40"/>
    </row>
    <row r="9" spans="1:6" ht="143.25" customHeight="1" x14ac:dyDescent="0.25">
      <c r="A9" s="43" t="s">
        <v>114</v>
      </c>
      <c r="B9" s="40"/>
      <c r="C9" s="40"/>
      <c r="D9" s="40"/>
      <c r="E9" s="40"/>
      <c r="F9" s="40"/>
    </row>
    <row r="10" spans="1:6" ht="14.45" customHeight="1" x14ac:dyDescent="0.25">
      <c r="A10" s="1"/>
      <c r="B10" s="1"/>
      <c r="C10" s="1"/>
      <c r="D10" s="1"/>
      <c r="E10" s="1"/>
      <c r="F10" s="1"/>
    </row>
    <row r="11" spans="1:6" ht="15.75" customHeight="1" x14ac:dyDescent="0.25">
      <c r="A11" s="41" t="s">
        <v>115</v>
      </c>
      <c r="B11" s="40"/>
      <c r="C11" s="40"/>
      <c r="D11" s="40"/>
      <c r="E11" s="40"/>
      <c r="F11" s="40"/>
    </row>
    <row r="12" spans="1:6" ht="116.25" customHeight="1" x14ac:dyDescent="0.25">
      <c r="A12" s="44" t="s">
        <v>116</v>
      </c>
      <c r="B12" s="40"/>
      <c r="C12" s="40"/>
      <c r="D12" s="40"/>
      <c r="E12" s="40"/>
      <c r="F12" s="40"/>
    </row>
    <row r="13" spans="1:6" ht="14.45" customHeight="1" x14ac:dyDescent="0.25">
      <c r="A13" s="1"/>
      <c r="B13" s="1"/>
      <c r="C13" s="1"/>
      <c r="D13" s="1"/>
      <c r="E13" s="1"/>
      <c r="F13" s="1"/>
    </row>
    <row r="14" spans="1:6" ht="15.75" customHeight="1" x14ac:dyDescent="0.25">
      <c r="A14" s="41" t="s">
        <v>117</v>
      </c>
      <c r="B14" s="40"/>
      <c r="C14" s="40"/>
      <c r="D14" s="40"/>
      <c r="E14" s="40"/>
      <c r="F14" s="40"/>
    </row>
    <row r="15" spans="1:6" ht="14.45" customHeight="1" x14ac:dyDescent="0.25">
      <c r="A15" s="44" t="s">
        <v>118</v>
      </c>
      <c r="B15" s="40"/>
      <c r="C15" s="40"/>
      <c r="D15" s="40"/>
      <c r="E15" s="40"/>
      <c r="F15" s="40"/>
    </row>
    <row r="16" spans="1:6" ht="14.45" customHeight="1" x14ac:dyDescent="0.25">
      <c r="A16" s="1"/>
      <c r="B16" s="1"/>
      <c r="C16" s="1"/>
      <c r="D16" s="1"/>
      <c r="E16" s="1"/>
      <c r="F16" s="1"/>
    </row>
    <row r="17" spans="1:6" ht="15.75" customHeight="1" x14ac:dyDescent="0.25">
      <c r="A17" s="41" t="s">
        <v>119</v>
      </c>
      <c r="B17" s="40"/>
      <c r="C17" s="40"/>
      <c r="D17" s="40"/>
      <c r="E17" s="40"/>
      <c r="F17" s="40"/>
    </row>
    <row r="18" spans="1:6" ht="78.75" customHeight="1" x14ac:dyDescent="0.25">
      <c r="A18" s="44" t="s">
        <v>120</v>
      </c>
      <c r="B18" s="40"/>
      <c r="C18" s="40"/>
      <c r="D18" s="40"/>
      <c r="E18" s="40"/>
      <c r="F18" s="40"/>
    </row>
    <row r="19" spans="1:6" ht="14.45" customHeight="1" x14ac:dyDescent="0.25">
      <c r="A19" s="1"/>
      <c r="B19" s="1"/>
      <c r="C19" s="1"/>
      <c r="D19" s="1"/>
      <c r="E19" s="1"/>
      <c r="F19" s="1"/>
    </row>
  </sheetData>
  <mergeCells count="12">
    <mergeCell ref="A17:F17"/>
    <mergeCell ref="A12:F12"/>
    <mergeCell ref="A18:F18"/>
    <mergeCell ref="A15:F15"/>
    <mergeCell ref="A11:F11"/>
    <mergeCell ref="A2:F3"/>
    <mergeCell ref="A14:F14"/>
    <mergeCell ref="A1:F1"/>
    <mergeCell ref="A5:F5"/>
    <mergeCell ref="A9:F9"/>
    <mergeCell ref="A8:F8"/>
    <mergeCell ref="A6: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DD7EE"/>
  </sheetPr>
  <dimension ref="A1:K1007"/>
  <sheetViews>
    <sheetView workbookViewId="0">
      <pane ySplit="2" topLeftCell="A9" activePane="bottomLeft" state="frozen"/>
      <selection pane="bottomLeft" activeCell="B33" sqref="B33"/>
    </sheetView>
  </sheetViews>
  <sheetFormatPr defaultColWidth="14.42578125" defaultRowHeight="15" customHeight="1" x14ac:dyDescent="0.25"/>
  <cols>
    <col min="1" max="1" width="36" customWidth="1"/>
    <col min="2" max="3" width="20" customWidth="1"/>
    <col min="4" max="4" width="56" customWidth="1"/>
    <col min="5" max="5" width="24" customWidth="1"/>
    <col min="6" max="6" width="16" customWidth="1"/>
    <col min="7" max="8" width="18" customWidth="1"/>
  </cols>
  <sheetData>
    <row r="1" spans="1:9" ht="14.25" customHeight="1" x14ac:dyDescent="0.3">
      <c r="A1" s="17" t="s">
        <v>0</v>
      </c>
      <c r="B1" s="18"/>
      <c r="C1" s="18"/>
      <c r="D1" s="18"/>
      <c r="E1" s="18"/>
      <c r="F1" s="18"/>
      <c r="G1" s="18"/>
      <c r="H1" s="18"/>
    </row>
    <row r="2" spans="1:9" ht="14.25" customHeight="1" x14ac:dyDescent="0.25">
      <c r="A2" s="19" t="s">
        <v>1</v>
      </c>
      <c r="B2" s="18"/>
      <c r="C2" s="18"/>
      <c r="D2" s="18"/>
      <c r="E2" s="18"/>
      <c r="F2" s="18"/>
      <c r="G2" s="18"/>
      <c r="H2" s="18"/>
    </row>
    <row r="3" spans="1:9" ht="14.25" customHeight="1" x14ac:dyDescent="0.25">
      <c r="A3" s="18"/>
      <c r="B3" s="18"/>
      <c r="C3" s="18"/>
      <c r="D3" s="18"/>
      <c r="E3" s="18"/>
      <c r="F3" s="18"/>
      <c r="G3" s="18"/>
      <c r="H3" s="18"/>
    </row>
    <row r="4" spans="1:9" ht="14.25" customHeight="1" x14ac:dyDescent="0.25">
      <c r="A4" s="20" t="s">
        <v>2</v>
      </c>
      <c r="B4" s="20" t="s">
        <v>3</v>
      </c>
      <c r="C4" s="20" t="s">
        <v>4</v>
      </c>
      <c r="D4" s="20" t="s">
        <v>5</v>
      </c>
      <c r="E4" s="20" t="s">
        <v>6</v>
      </c>
      <c r="F4" s="20" t="s">
        <v>7</v>
      </c>
      <c r="G4" s="20" t="s">
        <v>8</v>
      </c>
      <c r="H4" s="20" t="s">
        <v>9</v>
      </c>
    </row>
    <row r="5" spans="1:9" ht="14.25" customHeight="1" x14ac:dyDescent="0.25"/>
    <row r="6" spans="1:9" ht="14.25" customHeight="1" x14ac:dyDescent="0.25">
      <c r="A6" s="45" t="s">
        <v>10</v>
      </c>
      <c r="B6" s="40"/>
      <c r="C6" s="40"/>
      <c r="D6" s="40"/>
      <c r="E6" s="40"/>
      <c r="F6" s="40"/>
      <c r="G6" s="40"/>
      <c r="H6" s="40"/>
    </row>
    <row r="7" spans="1:9" ht="14.25" customHeight="1" x14ac:dyDescent="0.25">
      <c r="A7" s="2" t="s">
        <v>11</v>
      </c>
      <c r="B7" s="21"/>
      <c r="C7" s="22" t="str">
        <f>IF(B7="",E7,B7)</f>
        <v>(enter text)</v>
      </c>
      <c r="D7" s="23" t="s">
        <v>12</v>
      </c>
      <c r="E7" s="2" t="s">
        <v>13</v>
      </c>
      <c r="F7" s="2" t="str">
        <f>IF(B7="","Default","User")</f>
        <v>Default</v>
      </c>
    </row>
    <row r="8" spans="1:9" ht="14.25" customHeight="1" x14ac:dyDescent="0.25">
      <c r="A8" s="2" t="s">
        <v>14</v>
      </c>
      <c r="B8" s="21">
        <v>30</v>
      </c>
      <c r="C8" s="22">
        <f>IF(B8="",E8,B8)</f>
        <v>30</v>
      </c>
      <c r="D8" s="23" t="s">
        <v>15</v>
      </c>
      <c r="E8" s="2">
        <v>50</v>
      </c>
      <c r="F8" s="2" t="str">
        <f>IF(B8="","Default","User")</f>
        <v>User</v>
      </c>
      <c r="G8" s="2" t="s">
        <v>16</v>
      </c>
    </row>
    <row r="9" spans="1:9" ht="14.25" customHeight="1" x14ac:dyDescent="0.25">
      <c r="A9" s="2" t="s">
        <v>17</v>
      </c>
      <c r="B9" s="21">
        <v>250</v>
      </c>
      <c r="C9" s="22">
        <f>IF(B9="",E9,B9)</f>
        <v>250</v>
      </c>
      <c r="D9" s="23" t="s">
        <v>18</v>
      </c>
      <c r="E9" s="2">
        <v>300</v>
      </c>
      <c r="F9" s="2" t="str">
        <f>IF(B9="","Default","User")</f>
        <v>User</v>
      </c>
      <c r="G9" s="2" t="s">
        <v>19</v>
      </c>
    </row>
    <row r="10" spans="1:9" ht="14.25" customHeight="1" x14ac:dyDescent="0.25">
      <c r="A10" s="2" t="s">
        <v>20</v>
      </c>
      <c r="B10" s="21">
        <v>150</v>
      </c>
      <c r="C10" s="22">
        <f>IF(B10="",E10,B10)</f>
        <v>150</v>
      </c>
      <c r="D10" s="23" t="s">
        <v>21</v>
      </c>
      <c r="E10" s="2">
        <v>180</v>
      </c>
      <c r="F10" s="2" t="str">
        <f>IF(B10="","Default","User")</f>
        <v>User</v>
      </c>
      <c r="G10" s="2" t="s">
        <v>22</v>
      </c>
    </row>
    <row r="11" spans="1:9" ht="14.25" customHeight="1" x14ac:dyDescent="0.25">
      <c r="A11" s="2" t="s">
        <v>23</v>
      </c>
      <c r="C11" s="22">
        <f>C9*C10</f>
        <v>37500</v>
      </c>
      <c r="G11" s="2" t="s">
        <v>24</v>
      </c>
    </row>
    <row r="12" spans="1:9" ht="14.25" customHeight="1" x14ac:dyDescent="0.25">
      <c r="A12" s="2" t="s">
        <v>25</v>
      </c>
      <c r="C12" s="22">
        <f>C8*C11</f>
        <v>1125000</v>
      </c>
      <c r="G12" s="2" t="s">
        <v>26</v>
      </c>
    </row>
    <row r="13" spans="1:9" ht="14.25" customHeight="1" x14ac:dyDescent="0.25">
      <c r="A13" s="33"/>
      <c r="B13" s="36"/>
      <c r="C13" s="22"/>
      <c r="D13" s="36"/>
      <c r="E13" s="36"/>
      <c r="F13" s="36"/>
      <c r="G13" s="33"/>
      <c r="H13" s="36"/>
      <c r="I13" s="37"/>
    </row>
    <row r="14" spans="1:9" ht="14.25" customHeight="1" x14ac:dyDescent="0.25">
      <c r="A14" s="45" t="s">
        <v>27</v>
      </c>
      <c r="B14" s="40"/>
      <c r="C14" s="40"/>
      <c r="D14" s="40"/>
      <c r="E14" s="40"/>
      <c r="F14" s="40"/>
      <c r="G14" s="40"/>
      <c r="H14" s="40"/>
    </row>
    <row r="15" spans="1:9" ht="14.25" customHeight="1" x14ac:dyDescent="0.25">
      <c r="A15" s="2" t="s">
        <v>28</v>
      </c>
      <c r="B15" s="21"/>
      <c r="C15" s="22">
        <f>IF(B15="",E15,B15)</f>
        <v>10</v>
      </c>
      <c r="D15" s="23" t="s">
        <v>29</v>
      </c>
      <c r="E15" s="2">
        <v>10</v>
      </c>
      <c r="F15" s="3" t="s">
        <v>30</v>
      </c>
      <c r="G15" s="2" t="s">
        <v>31</v>
      </c>
    </row>
    <row r="16" spans="1:9" ht="14.25" customHeight="1" x14ac:dyDescent="0.25">
      <c r="A16" s="2" t="s">
        <v>32</v>
      </c>
      <c r="B16" s="21"/>
      <c r="C16" s="24">
        <f>IF(B16="",E16,B16)</f>
        <v>2.4796</v>
      </c>
      <c r="D16" s="23" t="s">
        <v>33</v>
      </c>
      <c r="E16" s="4">
        <v>2.4796</v>
      </c>
      <c r="F16" s="2" t="s">
        <v>34</v>
      </c>
      <c r="G16" s="2" t="s">
        <v>35</v>
      </c>
    </row>
    <row r="17" spans="1:11" ht="14.25" customHeight="1" x14ac:dyDescent="0.25">
      <c r="A17" s="2" t="s">
        <v>36</v>
      </c>
      <c r="B17" s="21"/>
      <c r="C17" s="24">
        <f>IF(B17="",E17,B17)</f>
        <v>0.61</v>
      </c>
      <c r="D17" s="23" t="s">
        <v>37</v>
      </c>
      <c r="E17" s="4">
        <v>0.61</v>
      </c>
      <c r="F17" s="2" t="s">
        <v>38</v>
      </c>
      <c r="G17" s="2" t="s">
        <v>35</v>
      </c>
    </row>
    <row r="18" spans="1:11" ht="14.25" customHeight="1" x14ac:dyDescent="0.25">
      <c r="A18" s="2" t="s">
        <v>39</v>
      </c>
      <c r="B18" s="21"/>
      <c r="C18" s="22">
        <f>IF(B18="",E18*$B$24,B18)</f>
        <v>8</v>
      </c>
      <c r="D18" s="23" t="s">
        <v>40</v>
      </c>
      <c r="E18" s="2">
        <v>8</v>
      </c>
      <c r="F18" s="2" t="str">
        <f>IF(B18="","Default","User")</f>
        <v>Default</v>
      </c>
      <c r="G18" s="2" t="s">
        <v>41</v>
      </c>
    </row>
    <row r="19" spans="1:11" ht="14.25" customHeight="1" x14ac:dyDescent="0.25">
      <c r="A19" s="2" t="s">
        <v>42</v>
      </c>
      <c r="B19" s="21"/>
      <c r="C19" s="22">
        <f>IF(B19="",E19*$B$25,B19)</f>
        <v>0.1</v>
      </c>
      <c r="D19" s="23" t="s">
        <v>43</v>
      </c>
      <c r="E19" s="2">
        <v>0.1</v>
      </c>
      <c r="F19" s="2" t="str">
        <f>IF(B19="","Default","User")</f>
        <v>Default</v>
      </c>
      <c r="G19" s="2" t="s">
        <v>41</v>
      </c>
    </row>
    <row r="20" spans="1:11" ht="14.25" customHeight="1" x14ac:dyDescent="0.25">
      <c r="A20" s="2" t="s">
        <v>44</v>
      </c>
      <c r="C20" s="22">
        <f>C15/100</f>
        <v>0.1</v>
      </c>
      <c r="G20" s="2" t="s">
        <v>45</v>
      </c>
    </row>
    <row r="21" spans="1:11" s="38" customFormat="1" ht="14.25" customHeight="1" x14ac:dyDescent="0.25">
      <c r="A21" s="45" t="s">
        <v>46</v>
      </c>
      <c r="B21" s="46"/>
      <c r="C21" s="46"/>
      <c r="G21" s="33"/>
    </row>
    <row r="22" spans="1:11" s="38" customFormat="1" ht="14.25" customHeight="1" x14ac:dyDescent="0.25">
      <c r="A22" s="33" t="s">
        <v>47</v>
      </c>
      <c r="B22" s="21" t="s">
        <v>48</v>
      </c>
      <c r="C22" s="23" t="s">
        <v>49</v>
      </c>
      <c r="G22" s="33"/>
      <c r="I22" s="33"/>
      <c r="J22" s="22"/>
      <c r="K22" s="33"/>
    </row>
    <row r="23" spans="1:11" s="38" customFormat="1" ht="14.25" customHeight="1" x14ac:dyDescent="0.25">
      <c r="A23" s="33" t="s">
        <v>50</v>
      </c>
      <c r="B23" s="21" t="s">
        <v>51</v>
      </c>
      <c r="C23" s="33"/>
      <c r="G23" s="33"/>
      <c r="I23" s="33"/>
      <c r="J23" s="22"/>
      <c r="K23" s="33"/>
    </row>
    <row r="24" spans="1:11" s="38" customFormat="1" ht="14.25" customHeight="1" x14ac:dyDescent="0.25">
      <c r="A24" s="33" t="s">
        <v>52</v>
      </c>
      <c r="B24" s="22">
        <f>IFERROR(INDEX('Info &amp; Definitions '!$C$40:$C$51,MATCH($B$27,'Info &amp; Definitions '!$E$40:$E$51,0)),1)</f>
        <v>1</v>
      </c>
      <c r="C24" s="33"/>
      <c r="G24" s="33"/>
      <c r="I24" s="33"/>
      <c r="J24" s="22"/>
      <c r="K24" s="33"/>
    </row>
    <row r="25" spans="1:11" s="38" customFormat="1" ht="14.25" customHeight="1" x14ac:dyDescent="0.25">
      <c r="A25" s="33" t="s">
        <v>53</v>
      </c>
      <c r="B25" s="22">
        <f>IFERROR(INDEX('Info &amp; Definitions '!$D$40:$D$51,MATCH($B$27,'Info &amp; Definitions '!$E$40:$E$51,0)),1)</f>
        <v>1</v>
      </c>
      <c r="C25" s="36"/>
      <c r="G25" s="33"/>
      <c r="I25" s="33"/>
      <c r="J25" s="22"/>
      <c r="K25" s="33"/>
    </row>
    <row r="26" spans="1:11" s="38" customFormat="1" ht="14.25" customHeight="1" x14ac:dyDescent="0.25">
      <c r="A26" s="33" t="s">
        <v>54</v>
      </c>
      <c r="B26" s="22" t="str">
        <f>IF(AND($B$22="&gt;50 ppm",$B$23="Modern after-treatment (DPF/SCR)"),"Warning: high sulphur may impair after-treatment; review factors","")</f>
        <v/>
      </c>
      <c r="C26" s="33"/>
      <c r="G26" s="33"/>
      <c r="I26" s="33"/>
      <c r="J26" s="22"/>
      <c r="K26" s="33"/>
    </row>
    <row r="27" spans="1:11" ht="14.25" customHeight="1" x14ac:dyDescent="0.25">
      <c r="A27" s="33" t="s">
        <v>55</v>
      </c>
      <c r="B27" s="22" t="str">
        <f>B22&amp;"|"&amp;B23</f>
        <v>Unknown|Unknown/mixed</v>
      </c>
      <c r="C27" s="33"/>
      <c r="D27" s="34" t="s">
        <v>56</v>
      </c>
      <c r="K27" s="36"/>
    </row>
    <row r="28" spans="1:11" s="38" customFormat="1" ht="14.25" customHeight="1" x14ac:dyDescent="0.25">
      <c r="A28" s="33" t="s">
        <v>57</v>
      </c>
      <c r="B28" s="22" t="str">
        <f>IF(COUNTIF('Info &amp; Definitions '!$E$40:$E$51,$B$27)&gt;0,"OK","Not found")</f>
        <v>OK</v>
      </c>
      <c r="C28" s="33"/>
      <c r="D28" s="34"/>
      <c r="K28" s="36"/>
    </row>
    <row r="29" spans="1:11" ht="14.25" customHeight="1" x14ac:dyDescent="0.25">
      <c r="A29" s="45" t="s">
        <v>58</v>
      </c>
      <c r="B29" s="40"/>
      <c r="C29" s="40"/>
      <c r="D29" s="40"/>
      <c r="E29" s="40"/>
      <c r="F29" s="40"/>
      <c r="G29" s="40"/>
      <c r="H29" s="40"/>
      <c r="I29" s="33"/>
      <c r="J29" s="21"/>
      <c r="K29" s="33"/>
    </row>
    <row r="30" spans="1:11" ht="14.25" customHeight="1" x14ac:dyDescent="0.25">
      <c r="A30" s="2" t="s">
        <v>59</v>
      </c>
      <c r="B30" s="21"/>
      <c r="C30" s="22">
        <f t="shared" ref="C30:C37" si="0">IF(B30="",E30,B30)</f>
        <v>1.1000000000000001</v>
      </c>
      <c r="D30" s="23" t="s">
        <v>60</v>
      </c>
      <c r="E30" s="2">
        <v>1.1000000000000001</v>
      </c>
      <c r="F30" s="2" t="str">
        <f>IF(B30="","Default","User")</f>
        <v>Default</v>
      </c>
      <c r="G30" s="2" t="s">
        <v>61</v>
      </c>
      <c r="I30" s="20"/>
      <c r="J30" s="36"/>
      <c r="K30" s="36"/>
    </row>
    <row r="31" spans="1:11" ht="14.25" customHeight="1" x14ac:dyDescent="0.25">
      <c r="A31" s="2" t="s">
        <v>62</v>
      </c>
      <c r="B31" s="21"/>
      <c r="C31" s="25">
        <f t="shared" si="0"/>
        <v>0.9</v>
      </c>
      <c r="D31" s="23" t="s">
        <v>63</v>
      </c>
      <c r="E31" s="5">
        <v>0.9</v>
      </c>
      <c r="F31" s="2" t="s">
        <v>64</v>
      </c>
      <c r="G31" s="2" t="s">
        <v>65</v>
      </c>
      <c r="I31" s="33"/>
      <c r="J31" s="21"/>
      <c r="K31" s="33"/>
    </row>
    <row r="32" spans="1:11" ht="14.25" customHeight="1" x14ac:dyDescent="0.25">
      <c r="A32" s="2" t="s">
        <v>66</v>
      </c>
      <c r="B32" s="21">
        <v>0.5</v>
      </c>
      <c r="C32" s="24">
        <f t="shared" si="0"/>
        <v>0.5</v>
      </c>
      <c r="D32" s="23" t="s">
        <v>67</v>
      </c>
      <c r="E32" s="4">
        <v>0.86650000000000005</v>
      </c>
      <c r="F32" s="2" t="s">
        <v>68</v>
      </c>
      <c r="G32" s="2" t="s">
        <v>69</v>
      </c>
    </row>
    <row r="33" spans="1:8" ht="14.25" customHeight="1" x14ac:dyDescent="0.25">
      <c r="A33" s="2" t="s">
        <v>70</v>
      </c>
      <c r="B33" s="21"/>
      <c r="C33" s="22">
        <f t="shared" si="0"/>
        <v>70</v>
      </c>
      <c r="D33" s="23" t="s">
        <v>71</v>
      </c>
      <c r="E33" s="2">
        <v>70</v>
      </c>
      <c r="F33" s="2" t="str">
        <f>IF(B33="","Default","User")</f>
        <v>Default</v>
      </c>
      <c r="G33" s="2" t="s">
        <v>72</v>
      </c>
    </row>
    <row r="34" spans="1:8" ht="14.25" customHeight="1" x14ac:dyDescent="0.25">
      <c r="A34" s="2" t="s">
        <v>73</v>
      </c>
      <c r="B34" s="21"/>
      <c r="C34" s="22">
        <f t="shared" si="0"/>
        <v>0</v>
      </c>
      <c r="D34" s="23" t="s">
        <v>74</v>
      </c>
      <c r="E34" s="2">
        <v>0</v>
      </c>
      <c r="F34" s="2" t="str">
        <f>IF(B34="","Default","User")</f>
        <v>Default</v>
      </c>
      <c r="G34" s="2" t="s">
        <v>69</v>
      </c>
    </row>
    <row r="35" spans="1:8" ht="14.25" customHeight="1" x14ac:dyDescent="0.25">
      <c r="A35" s="2" t="s">
        <v>75</v>
      </c>
      <c r="B35" s="21"/>
      <c r="C35" s="22">
        <f t="shared" si="0"/>
        <v>12</v>
      </c>
      <c r="D35" s="23" t="s">
        <v>76</v>
      </c>
      <c r="E35" s="2">
        <v>12</v>
      </c>
      <c r="F35" s="2" t="str">
        <f>IF(B35="","Default","User")</f>
        <v>Default</v>
      </c>
      <c r="G35" s="2" t="s">
        <v>72</v>
      </c>
    </row>
    <row r="36" spans="1:8" ht="14.25" customHeight="1" x14ac:dyDescent="0.25">
      <c r="A36" s="2" t="s">
        <v>77</v>
      </c>
      <c r="B36" s="21"/>
      <c r="C36" s="22">
        <f t="shared" si="0"/>
        <v>0</v>
      </c>
      <c r="D36" s="23" t="s">
        <v>78</v>
      </c>
      <c r="E36" s="2">
        <v>0</v>
      </c>
      <c r="F36" s="2" t="str">
        <f>IF(B36="","Default","User")</f>
        <v>Default</v>
      </c>
      <c r="G36" s="2" t="s">
        <v>79</v>
      </c>
    </row>
    <row r="37" spans="1:8" ht="14.25" customHeight="1" x14ac:dyDescent="0.25">
      <c r="A37" s="2" t="s">
        <v>80</v>
      </c>
      <c r="B37" s="21"/>
      <c r="C37" s="22">
        <f t="shared" si="0"/>
        <v>0</v>
      </c>
      <c r="D37" s="23" t="s">
        <v>81</v>
      </c>
      <c r="E37" s="2">
        <v>0</v>
      </c>
      <c r="F37" s="2" t="str">
        <f>IF(B37="","Default","User")</f>
        <v>Default</v>
      </c>
      <c r="G37" s="2" t="s">
        <v>79</v>
      </c>
    </row>
    <row r="38" spans="1:8" ht="14.25" customHeight="1" x14ac:dyDescent="0.25">
      <c r="A38" s="2" t="s">
        <v>82</v>
      </c>
      <c r="C38" s="22">
        <f>(1-C33/100)*C32 + (C33/100)*C34</f>
        <v>0.15000000000000002</v>
      </c>
      <c r="D38" s="6" t="s">
        <v>83</v>
      </c>
      <c r="G38" s="2" t="s">
        <v>69</v>
      </c>
    </row>
    <row r="39" spans="1:8" ht="14.25" customHeight="1" x14ac:dyDescent="0.25"/>
    <row r="40" spans="1:8" ht="14.25" customHeight="1" x14ac:dyDescent="0.25">
      <c r="A40" s="45" t="s">
        <v>84</v>
      </c>
      <c r="B40" s="40"/>
      <c r="C40" s="40"/>
      <c r="D40" s="40"/>
      <c r="E40" s="40"/>
      <c r="F40" s="40"/>
      <c r="G40" s="40"/>
      <c r="H40" s="40"/>
    </row>
    <row r="41" spans="1:8" ht="14.25" customHeight="1" x14ac:dyDescent="0.25">
      <c r="A41" s="2" t="s">
        <v>85</v>
      </c>
      <c r="B41" s="21" t="s">
        <v>86</v>
      </c>
      <c r="C41" s="22" t="str">
        <f>IF(B41="",E41,B41)</f>
        <v>No</v>
      </c>
      <c r="D41" s="23" t="s">
        <v>87</v>
      </c>
      <c r="E41" s="2" t="s">
        <v>88</v>
      </c>
      <c r="F41" s="2" t="str">
        <f>IF(B41="","Default","User")</f>
        <v>User</v>
      </c>
    </row>
    <row r="42" spans="1:8" ht="14.25" customHeight="1" x14ac:dyDescent="0.25">
      <c r="A42" s="2" t="s">
        <v>89</v>
      </c>
      <c r="B42" s="21">
        <v>70</v>
      </c>
      <c r="C42" s="22">
        <f>IF(B42="",E42,B42)</f>
        <v>70</v>
      </c>
      <c r="D42" s="23" t="s">
        <v>90</v>
      </c>
      <c r="E42" s="2">
        <v>120</v>
      </c>
      <c r="F42" s="2" t="str">
        <f>IF(B42="","Default","User")</f>
        <v>User</v>
      </c>
      <c r="G42" s="2" t="s">
        <v>91</v>
      </c>
    </row>
    <row r="43" spans="1:8" ht="14.25" customHeight="1" x14ac:dyDescent="0.25">
      <c r="A43" s="2" t="s">
        <v>92</v>
      </c>
      <c r="B43" s="21"/>
      <c r="C43" s="22">
        <f>IF(B43="",E43,B43)</f>
        <v>90</v>
      </c>
      <c r="D43" s="23" t="s">
        <v>93</v>
      </c>
      <c r="E43" s="2">
        <v>90</v>
      </c>
      <c r="F43" s="2" t="str">
        <f>IF(B43="","Default","User")</f>
        <v>Default</v>
      </c>
      <c r="G43" s="2" t="s">
        <v>69</v>
      </c>
    </row>
    <row r="44" spans="1:8" ht="14.25" customHeight="1" x14ac:dyDescent="0.25">
      <c r="A44" s="2" t="s">
        <v>94</v>
      </c>
      <c r="B44" s="21"/>
      <c r="C44" s="22">
        <f>IF(B44="",E44,B44)</f>
        <v>8</v>
      </c>
      <c r="D44" s="23" t="s">
        <v>95</v>
      </c>
      <c r="E44" s="2">
        <v>8</v>
      </c>
      <c r="F44" s="2" t="str">
        <f>IF(B44="","Default","User")</f>
        <v>Default</v>
      </c>
      <c r="G44" s="2" t="s">
        <v>96</v>
      </c>
    </row>
    <row r="45" spans="1:8" ht="14.25" customHeight="1" x14ac:dyDescent="0.25">
      <c r="A45" s="45" t="s">
        <v>97</v>
      </c>
      <c r="B45" s="40"/>
      <c r="C45" s="40"/>
      <c r="D45" s="40"/>
      <c r="E45" s="40"/>
      <c r="F45" s="40"/>
      <c r="G45" s="40"/>
      <c r="H45" s="40"/>
    </row>
    <row r="46" spans="1:8" ht="14.25" customHeight="1" x14ac:dyDescent="0.25">
      <c r="A46" s="2" t="s">
        <v>98</v>
      </c>
      <c r="B46" s="21" t="s">
        <v>88</v>
      </c>
      <c r="C46" s="22" t="str">
        <f>IF(B46="",E46,B46)</f>
        <v>Yes</v>
      </c>
      <c r="D46" s="23" t="s">
        <v>99</v>
      </c>
      <c r="E46" s="2" t="s">
        <v>88</v>
      </c>
      <c r="F46" s="2" t="str">
        <f>IF(B46="","Default","User")</f>
        <v>User</v>
      </c>
    </row>
    <row r="47" spans="1:8" ht="14.25" customHeight="1" x14ac:dyDescent="0.25">
      <c r="A47" s="2" t="s">
        <v>100</v>
      </c>
      <c r="B47" s="21"/>
      <c r="C47" s="22">
        <f>C44</f>
        <v>8</v>
      </c>
      <c r="D47" s="23" t="s">
        <v>101</v>
      </c>
      <c r="E47" s="2">
        <v>10</v>
      </c>
      <c r="F47" s="2" t="str">
        <f>IF(B47="","Default","User")</f>
        <v>Default</v>
      </c>
      <c r="G47" s="2" t="s">
        <v>96</v>
      </c>
    </row>
    <row r="48" spans="1:8" ht="14.25" customHeight="1" x14ac:dyDescent="0.25">
      <c r="A48" s="2" t="s">
        <v>102</v>
      </c>
      <c r="B48" s="21"/>
      <c r="C48" s="22">
        <f>IF(B48="",E48,B48)</f>
        <v>7</v>
      </c>
      <c r="D48" s="23" t="s">
        <v>103</v>
      </c>
      <c r="E48" s="2">
        <v>7</v>
      </c>
      <c r="F48" s="2" t="str">
        <f>IF(B48="","Default","User")</f>
        <v>Default</v>
      </c>
      <c r="G48" s="2" t="s">
        <v>104</v>
      </c>
    </row>
    <row r="49" spans="1:7" ht="14.25" customHeight="1" x14ac:dyDescent="0.25">
      <c r="A49" s="2" t="s">
        <v>105</v>
      </c>
      <c r="B49" s="21"/>
      <c r="C49" s="22">
        <f>IF(B49="",E49,B49)</f>
        <v>8</v>
      </c>
      <c r="D49" s="23" t="s">
        <v>106</v>
      </c>
      <c r="E49" s="2">
        <v>8</v>
      </c>
      <c r="F49" s="2" t="str">
        <f>IF(B49="","Default","User")</f>
        <v>Default</v>
      </c>
      <c r="G49" s="2" t="s">
        <v>104</v>
      </c>
    </row>
    <row r="50" spans="1:7" ht="14.25" customHeight="1" x14ac:dyDescent="0.25">
      <c r="A50" s="2" t="s">
        <v>107</v>
      </c>
      <c r="C50" s="22">
        <f>(C48*C8)/C47</f>
        <v>26.25</v>
      </c>
      <c r="G50" s="2" t="s">
        <v>108</v>
      </c>
    </row>
    <row r="51" spans="1:7" ht="14.25" customHeight="1" x14ac:dyDescent="0.25">
      <c r="A51" s="2" t="s">
        <v>109</v>
      </c>
      <c r="C51" s="22">
        <f>(C49*C8)/C47</f>
        <v>30</v>
      </c>
      <c r="G51" s="2" t="s">
        <v>108</v>
      </c>
    </row>
    <row r="52" spans="1:7" ht="14.25" customHeight="1" x14ac:dyDescent="0.25"/>
    <row r="53" spans="1:7" ht="14.25" customHeight="1" x14ac:dyDescent="0.25"/>
    <row r="54" spans="1:7" ht="14.25" customHeight="1" x14ac:dyDescent="0.25"/>
    <row r="55" spans="1:7" ht="14.25" customHeight="1" x14ac:dyDescent="0.25"/>
    <row r="56" spans="1:7" ht="14.25" customHeight="1" x14ac:dyDescent="0.25"/>
    <row r="57" spans="1:7" ht="14.25" customHeight="1" x14ac:dyDescent="0.25"/>
    <row r="58" spans="1:7" ht="14.25" customHeight="1" x14ac:dyDescent="0.25"/>
    <row r="59" spans="1:7" ht="14.25" customHeight="1" x14ac:dyDescent="0.25"/>
    <row r="60" spans="1:7" ht="14.25" customHeight="1" x14ac:dyDescent="0.25"/>
    <row r="61" spans="1:7" ht="14.25" customHeight="1" x14ac:dyDescent="0.25"/>
    <row r="62" spans="1:7" ht="14.25" customHeight="1" x14ac:dyDescent="0.25"/>
    <row r="63" spans="1:7" ht="14.25" customHeight="1" x14ac:dyDescent="0.25"/>
    <row r="64" spans="1:7"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6">
    <mergeCell ref="A29:H29"/>
    <mergeCell ref="A14:H14"/>
    <mergeCell ref="A21:C21"/>
    <mergeCell ref="A45:H45"/>
    <mergeCell ref="A6:H6"/>
    <mergeCell ref="A40:H40"/>
  </mergeCells>
  <dataValidations count="6">
    <dataValidation type="decimal" allowBlank="1" showErrorMessage="1" sqref="E31" xr:uid="{00000000-0002-0000-0100-000000000000}">
      <formula1>0</formula1>
      <formula2>1</formula2>
    </dataValidation>
    <dataValidation type="decimal" operator="greaterThanOrEqual" allowBlank="1" showErrorMessage="1" sqref="E16:E17 E32 E34 E36:E37" xr:uid="{00000000-0002-0000-0100-000001000000}">
      <formula1>0</formula1>
    </dataValidation>
    <dataValidation type="decimal" allowBlank="1" showErrorMessage="1" sqref="E33 E35" xr:uid="{00000000-0002-0000-0100-000002000000}">
      <formula1>0</formula1>
      <formula2>100</formula2>
    </dataValidation>
    <dataValidation type="list" allowBlank="1" showErrorMessage="1" sqref="B41 B46" xr:uid="{00000000-0002-0000-0100-000003000000}">
      <formula1>"Yes,No"</formula1>
    </dataValidation>
    <dataValidation type="list" sqref="B22" xr:uid="{00000000-0002-0000-0100-000004000000}">
      <formula1>"≤10 ppm (ULSD),≤50 ppm (LSD),&gt;50 ppm,Unknown"</formula1>
    </dataValidation>
    <dataValidation type="list" sqref="B23" xr:uid="{00000000-0002-0000-0100-000005000000}">
      <formula1>"Modern after-treatment (DPF/SCR),Older/no after-treatment,Unknown/mixed"</formula1>
    </dataValidation>
  </dataValidations>
  <pageMargins left="0.75" right="0.75" top="1" bottom="1"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W1000"/>
  <sheetViews>
    <sheetView workbookViewId="0">
      <pane ySplit="2" topLeftCell="A3" activePane="bottomLeft" state="frozen"/>
      <selection pane="bottomLeft" activeCell="C17" sqref="C17"/>
    </sheetView>
  </sheetViews>
  <sheetFormatPr defaultColWidth="14.42578125" defaultRowHeight="15" customHeight="1" x14ac:dyDescent="0.25"/>
  <cols>
    <col min="1" max="1" width="48" customWidth="1"/>
    <col min="2" max="2" width="28" customWidth="1"/>
    <col min="3" max="3" width="46" customWidth="1"/>
    <col min="4" max="4" width="64" hidden="1" customWidth="1"/>
  </cols>
  <sheetData>
    <row r="1" spans="1:4" ht="14.25" customHeight="1" x14ac:dyDescent="0.3">
      <c r="A1" s="26" t="s">
        <v>121</v>
      </c>
      <c r="B1" s="18"/>
      <c r="C1" s="18"/>
      <c r="D1" s="3" t="s">
        <v>122</v>
      </c>
    </row>
    <row r="2" spans="1:4" ht="14.25" customHeight="1" x14ac:dyDescent="0.25">
      <c r="A2" s="18"/>
      <c r="B2" s="18"/>
      <c r="C2" s="18" t="s">
        <v>123</v>
      </c>
    </row>
    <row r="3" spans="1:4" ht="14.25" customHeight="1" x14ac:dyDescent="0.25">
      <c r="A3" s="20" t="s">
        <v>124</v>
      </c>
      <c r="B3" s="18"/>
      <c r="C3" s="27" t="s">
        <v>125</v>
      </c>
      <c r="D3" s="7" t="s">
        <v>126</v>
      </c>
    </row>
    <row r="4" spans="1:4" ht="14.25" customHeight="1" x14ac:dyDescent="0.25">
      <c r="A4" s="2" t="s">
        <v>23</v>
      </c>
      <c r="B4" s="22">
        <f>C0_Inputs!C11</f>
        <v>37500</v>
      </c>
      <c r="C4" s="27" t="s">
        <v>127</v>
      </c>
    </row>
    <row r="5" spans="1:4" ht="14.25" customHeight="1" x14ac:dyDescent="0.25">
      <c r="A5" s="2" t="s">
        <v>25</v>
      </c>
      <c r="B5" s="22">
        <f>C0_Inputs!C12</f>
        <v>1125000</v>
      </c>
      <c r="C5" s="27" t="s">
        <v>128</v>
      </c>
    </row>
    <row r="6" spans="1:4" ht="14.25" customHeight="1" x14ac:dyDescent="0.25">
      <c r="C6" s="28"/>
    </row>
    <row r="7" spans="1:4" ht="14.25" customHeight="1" x14ac:dyDescent="0.25">
      <c r="A7" s="20" t="s">
        <v>129</v>
      </c>
      <c r="B7" s="18"/>
      <c r="C7" s="29" t="s">
        <v>130</v>
      </c>
    </row>
    <row r="8" spans="1:4" ht="14.25" customHeight="1" x14ac:dyDescent="0.25">
      <c r="A8" s="2" t="s">
        <v>131</v>
      </c>
      <c r="B8" s="22">
        <f>C0_Inputs!C20 * B5</f>
        <v>112500</v>
      </c>
      <c r="C8" s="27" t="s">
        <v>132</v>
      </c>
      <c r="D8" s="8" t="s">
        <v>133</v>
      </c>
    </row>
    <row r="9" spans="1:4" ht="14.25" customHeight="1" x14ac:dyDescent="0.25">
      <c r="A9" s="2" t="s">
        <v>134</v>
      </c>
      <c r="B9" s="22">
        <f>B8 * C0_Inputs!C16 / 1000</f>
        <v>278.95499999999998</v>
      </c>
      <c r="C9" s="27" t="s">
        <v>135</v>
      </c>
      <c r="D9" s="8" t="s">
        <v>136</v>
      </c>
    </row>
    <row r="10" spans="1:4" ht="14.25" customHeight="1" x14ac:dyDescent="0.25">
      <c r="A10" s="2" t="s">
        <v>137</v>
      </c>
      <c r="B10" s="22">
        <f>B8 * C0_Inputs!C17 / 1000</f>
        <v>68.625</v>
      </c>
      <c r="C10" s="27" t="s">
        <v>138</v>
      </c>
      <c r="D10" s="8" t="s">
        <v>139</v>
      </c>
    </row>
    <row r="11" spans="1:4" ht="14.25" customHeight="1" x14ac:dyDescent="0.25">
      <c r="A11" s="2" t="s">
        <v>140</v>
      </c>
      <c r="B11" s="22">
        <f>C0_Inputs!C18 * B5 / 1000</f>
        <v>9000</v>
      </c>
      <c r="C11" s="27" t="s">
        <v>141</v>
      </c>
      <c r="D11" s="8" t="s">
        <v>142</v>
      </c>
    </row>
    <row r="12" spans="1:4" ht="14.25" customHeight="1" x14ac:dyDescent="0.25">
      <c r="A12" s="2" t="s">
        <v>143</v>
      </c>
      <c r="B12" s="22">
        <f>C0_Inputs!C19 * B5 / 1000</f>
        <v>112.5</v>
      </c>
      <c r="C12" s="27" t="s">
        <v>144</v>
      </c>
      <c r="D12" s="8" t="s">
        <v>145</v>
      </c>
    </row>
    <row r="13" spans="1:4" ht="14.25" customHeight="1" x14ac:dyDescent="0.25">
      <c r="A13" s="2" t="s">
        <v>146</v>
      </c>
      <c r="B13" s="22">
        <f>C0_Inputs!C50</f>
        <v>26.25</v>
      </c>
      <c r="C13" s="27" t="s">
        <v>147</v>
      </c>
      <c r="D13" s="8" t="s">
        <v>148</v>
      </c>
    </row>
    <row r="14" spans="1:4" ht="14.25" customHeight="1" x14ac:dyDescent="0.25">
      <c r="A14" s="2" t="s">
        <v>149</v>
      </c>
      <c r="B14" s="22">
        <f>B9 + B10 + B13</f>
        <v>373.83</v>
      </c>
      <c r="C14" s="27" t="s">
        <v>150</v>
      </c>
      <c r="D14" s="8" t="s">
        <v>151</v>
      </c>
    </row>
    <row r="15" spans="1:4" ht="14.25" customHeight="1" x14ac:dyDescent="0.25">
      <c r="A15" s="2" t="s">
        <v>152</v>
      </c>
      <c r="B15" s="22">
        <f>IF(B5&gt;0, B14*1000000/B5, "")</f>
        <v>332.29333333333335</v>
      </c>
      <c r="C15" s="27" t="s">
        <v>153</v>
      </c>
    </row>
    <row r="16" spans="1:4" ht="14.25" customHeight="1" x14ac:dyDescent="0.25">
      <c r="C16" s="28"/>
    </row>
    <row r="17" spans="1:23" ht="14.25" customHeight="1" x14ac:dyDescent="0.25">
      <c r="A17" s="20" t="s">
        <v>154</v>
      </c>
      <c r="B17" s="18"/>
      <c r="C17" s="30" t="s">
        <v>155</v>
      </c>
    </row>
    <row r="18" spans="1:23" ht="14.25" customHeight="1" x14ac:dyDescent="0.25">
      <c r="A18" s="2" t="s">
        <v>156</v>
      </c>
      <c r="B18" s="22">
        <f>B5 * C0_Inputs!C30</f>
        <v>1237500</v>
      </c>
      <c r="C18" s="27" t="s">
        <v>157</v>
      </c>
      <c r="D18" s="2"/>
      <c r="E18" s="2"/>
      <c r="F18" s="2"/>
      <c r="G18" s="2"/>
      <c r="H18" s="2"/>
      <c r="I18" s="2"/>
      <c r="J18" s="2"/>
      <c r="K18" s="2"/>
      <c r="L18" s="2"/>
      <c r="M18" s="2"/>
      <c r="N18" s="2"/>
      <c r="O18" s="2"/>
      <c r="P18" s="2"/>
      <c r="Q18" s="2"/>
      <c r="R18" s="2"/>
      <c r="S18" s="2"/>
      <c r="T18" s="2"/>
      <c r="U18" s="2"/>
      <c r="V18" s="2"/>
      <c r="W18" s="2"/>
    </row>
    <row r="19" spans="1:23" ht="14.25" customHeight="1" x14ac:dyDescent="0.25">
      <c r="A19" s="2" t="s">
        <v>158</v>
      </c>
      <c r="B19" s="22">
        <f>B18 / C0_Inputs!C31</f>
        <v>1375000</v>
      </c>
      <c r="C19" s="27" t="s">
        <v>159</v>
      </c>
      <c r="D19" s="2"/>
      <c r="E19" s="2"/>
      <c r="F19" s="2"/>
      <c r="G19" s="2"/>
      <c r="H19" s="2"/>
      <c r="I19" s="2"/>
      <c r="J19" s="2"/>
      <c r="K19" s="2"/>
      <c r="L19" s="2"/>
      <c r="M19" s="2"/>
      <c r="N19" s="2"/>
      <c r="O19" s="2"/>
      <c r="P19" s="2"/>
      <c r="Q19" s="2"/>
      <c r="R19" s="2"/>
      <c r="S19" s="2"/>
      <c r="T19" s="2"/>
      <c r="U19" s="2"/>
      <c r="V19" s="2"/>
      <c r="W19" s="2"/>
    </row>
    <row r="20" spans="1:23" ht="14.25" customHeight="1" x14ac:dyDescent="0.25">
      <c r="A20" s="2" t="s">
        <v>160</v>
      </c>
      <c r="B20" s="22">
        <f>B19 / (1 - C0_Inputs!C35/100)</f>
        <v>1562500</v>
      </c>
      <c r="C20" s="27" t="s">
        <v>161</v>
      </c>
      <c r="D20" s="2"/>
      <c r="E20" s="2"/>
      <c r="F20" s="2"/>
      <c r="G20" s="2"/>
      <c r="H20" s="2"/>
      <c r="I20" s="2"/>
      <c r="J20" s="2"/>
      <c r="K20" s="2"/>
      <c r="L20" s="2"/>
      <c r="M20" s="2"/>
      <c r="N20" s="2"/>
      <c r="O20" s="2"/>
      <c r="P20" s="2"/>
      <c r="Q20" s="2"/>
      <c r="R20" s="2"/>
      <c r="S20" s="2"/>
      <c r="T20" s="2"/>
      <c r="U20" s="2"/>
      <c r="V20" s="2"/>
      <c r="W20" s="2"/>
    </row>
    <row r="21" spans="1:23" ht="14.25" customHeight="1" x14ac:dyDescent="0.25">
      <c r="A21" s="2" t="s">
        <v>162</v>
      </c>
      <c r="B21" s="22">
        <f>B20 * C0_Inputs!C38 / 1000</f>
        <v>234.37500000000003</v>
      </c>
      <c r="C21" s="27" t="s">
        <v>163</v>
      </c>
      <c r="D21" s="2"/>
      <c r="E21" s="2"/>
      <c r="F21" s="2"/>
      <c r="G21" s="2"/>
      <c r="H21" s="2"/>
      <c r="I21" s="2"/>
      <c r="J21" s="2"/>
      <c r="K21" s="2"/>
      <c r="L21" s="2"/>
      <c r="M21" s="2"/>
      <c r="N21" s="2"/>
      <c r="O21" s="2"/>
      <c r="P21" s="2"/>
      <c r="Q21" s="2"/>
      <c r="R21" s="2"/>
      <c r="S21" s="2"/>
      <c r="T21" s="2"/>
      <c r="U21" s="2"/>
      <c r="V21" s="2"/>
      <c r="W21" s="2"/>
    </row>
    <row r="22" spans="1:23" ht="14.25" customHeight="1" x14ac:dyDescent="0.25">
      <c r="A22" s="2" t="s">
        <v>164</v>
      </c>
      <c r="B22" s="22">
        <f>IF(C0_Inputs!C41="Yes", (C0_Inputs!C42*C0_Inputs!C43/1000)/C0_Inputs!C44 * C0_Inputs!C8, 0)</f>
        <v>0</v>
      </c>
      <c r="C22" s="27" t="s">
        <v>165</v>
      </c>
      <c r="D22" s="2"/>
      <c r="E22" s="2"/>
      <c r="F22" s="2"/>
      <c r="G22" s="2"/>
      <c r="H22" s="2"/>
      <c r="I22" s="2"/>
      <c r="J22" s="2"/>
      <c r="K22" s="2"/>
      <c r="L22" s="2"/>
      <c r="M22" s="2"/>
      <c r="N22" s="2"/>
      <c r="O22" s="2"/>
      <c r="P22" s="2"/>
      <c r="Q22" s="2"/>
      <c r="R22" s="2"/>
      <c r="S22" s="2"/>
      <c r="T22" s="2"/>
      <c r="U22" s="2"/>
      <c r="V22" s="2"/>
      <c r="W22" s="2"/>
    </row>
    <row r="23" spans="1:23" ht="14.25" customHeight="1" x14ac:dyDescent="0.25">
      <c r="A23" s="2" t="s">
        <v>166</v>
      </c>
      <c r="B23" s="22">
        <f>C0_Inputs!C51</f>
        <v>30</v>
      </c>
      <c r="C23" s="27" t="s">
        <v>167</v>
      </c>
      <c r="D23" s="2"/>
      <c r="E23" s="2"/>
      <c r="F23" s="2"/>
      <c r="G23" s="2"/>
      <c r="H23" s="2"/>
      <c r="I23" s="2"/>
      <c r="J23" s="2"/>
      <c r="K23" s="2"/>
      <c r="L23" s="2"/>
      <c r="M23" s="2"/>
      <c r="N23" s="2"/>
      <c r="O23" s="2"/>
      <c r="P23" s="2"/>
      <c r="Q23" s="2"/>
      <c r="R23" s="2"/>
      <c r="S23" s="2"/>
      <c r="T23" s="2"/>
      <c r="U23" s="2"/>
      <c r="V23" s="2"/>
      <c r="W23" s="2"/>
    </row>
    <row r="24" spans="1:23" ht="14.25" customHeight="1" x14ac:dyDescent="0.25">
      <c r="A24" s="2" t="s">
        <v>168</v>
      </c>
      <c r="B24" s="22">
        <f>B21 + B22 + B23</f>
        <v>264.375</v>
      </c>
      <c r="C24" s="27" t="s">
        <v>169</v>
      </c>
      <c r="D24" s="2"/>
      <c r="E24" s="2"/>
      <c r="F24" s="2"/>
      <c r="G24" s="2"/>
      <c r="H24" s="2"/>
      <c r="I24" s="2"/>
      <c r="J24" s="2"/>
      <c r="K24" s="2"/>
      <c r="L24" s="2"/>
      <c r="M24" s="2"/>
      <c r="N24" s="2"/>
      <c r="O24" s="2"/>
      <c r="P24" s="2"/>
      <c r="Q24" s="2"/>
      <c r="R24" s="2"/>
      <c r="S24" s="2"/>
      <c r="T24" s="2"/>
      <c r="U24" s="2"/>
      <c r="V24" s="2"/>
      <c r="W24" s="2"/>
    </row>
    <row r="25" spans="1:23" ht="14.25" customHeight="1" x14ac:dyDescent="0.25">
      <c r="A25" s="2" t="s">
        <v>170</v>
      </c>
      <c r="B25" s="22">
        <f>IF(B5&gt;0, B24*1000000/B5, "")</f>
        <v>235</v>
      </c>
      <c r="C25" s="27" t="s">
        <v>171</v>
      </c>
      <c r="D25" s="2"/>
      <c r="E25" s="2"/>
      <c r="F25" s="2"/>
      <c r="G25" s="2"/>
      <c r="H25" s="2"/>
      <c r="I25" s="2"/>
      <c r="J25" s="2"/>
      <c r="K25" s="2"/>
      <c r="L25" s="2"/>
      <c r="M25" s="2"/>
      <c r="N25" s="2"/>
      <c r="O25" s="2"/>
      <c r="P25" s="2"/>
      <c r="Q25" s="2"/>
      <c r="R25" s="2"/>
      <c r="S25" s="2"/>
      <c r="T25" s="2"/>
      <c r="U25" s="2"/>
      <c r="V25" s="2"/>
      <c r="W25" s="2"/>
    </row>
    <row r="26" spans="1:23" ht="14.25" customHeight="1" x14ac:dyDescent="0.25">
      <c r="A26" s="2" t="s">
        <v>140</v>
      </c>
      <c r="B26" s="22">
        <f>B20 * C0_Inputs!C36 / 1000</f>
        <v>0</v>
      </c>
      <c r="C26" s="27" t="s">
        <v>172</v>
      </c>
      <c r="D26" s="2"/>
      <c r="E26" s="2"/>
      <c r="F26" s="2"/>
      <c r="G26" s="2"/>
      <c r="H26" s="2"/>
      <c r="I26" s="2"/>
      <c r="J26" s="2"/>
      <c r="K26" s="2"/>
      <c r="L26" s="2"/>
      <c r="M26" s="2"/>
      <c r="N26" s="2"/>
      <c r="O26" s="2"/>
      <c r="P26" s="2"/>
      <c r="Q26" s="2"/>
      <c r="R26" s="2"/>
      <c r="S26" s="2"/>
      <c r="T26" s="2"/>
      <c r="U26" s="2"/>
      <c r="V26" s="2"/>
      <c r="W26" s="2"/>
    </row>
    <row r="27" spans="1:23" ht="14.25" customHeight="1" x14ac:dyDescent="0.25">
      <c r="A27" s="2" t="s">
        <v>143</v>
      </c>
      <c r="B27" s="22">
        <f>B20 * C0_Inputs!C37 / 1000</f>
        <v>0</v>
      </c>
      <c r="C27" s="27" t="s">
        <v>173</v>
      </c>
    </row>
    <row r="28" spans="1:23" ht="14.25" customHeight="1" x14ac:dyDescent="0.25">
      <c r="A28" s="2"/>
      <c r="B28" s="2"/>
      <c r="C28" s="27"/>
      <c r="D28" s="2"/>
      <c r="E28" s="2"/>
      <c r="F28" s="2"/>
      <c r="G28" s="2"/>
      <c r="H28" s="2"/>
      <c r="I28" s="2"/>
      <c r="J28" s="2"/>
      <c r="K28" s="2"/>
      <c r="L28" s="2"/>
      <c r="M28" s="2"/>
      <c r="N28" s="2"/>
      <c r="O28" s="2"/>
      <c r="P28" s="2"/>
      <c r="Q28" s="2"/>
      <c r="R28" s="2"/>
      <c r="S28" s="2"/>
      <c r="T28" s="2"/>
      <c r="U28" s="2"/>
      <c r="V28" s="2"/>
      <c r="W28" s="2"/>
    </row>
    <row r="29" spans="1:23" ht="14.25" customHeight="1" x14ac:dyDescent="0.25">
      <c r="A29" s="20" t="s">
        <v>174</v>
      </c>
      <c r="B29" s="18"/>
      <c r="C29" s="27" t="s">
        <v>175</v>
      </c>
      <c r="D29" s="8" t="s">
        <v>176</v>
      </c>
    </row>
    <row r="30" spans="1:23" ht="14.25" customHeight="1" x14ac:dyDescent="0.25">
      <c r="A30" s="2" t="s">
        <v>177</v>
      </c>
      <c r="B30" s="22">
        <f>B14 - B24</f>
        <v>109.45499999999998</v>
      </c>
      <c r="C30" s="27" t="s">
        <v>178</v>
      </c>
      <c r="D30" s="8" t="s">
        <v>179</v>
      </c>
    </row>
    <row r="31" spans="1:23" ht="14.25" customHeight="1" x14ac:dyDescent="0.25">
      <c r="A31" s="2" t="s">
        <v>180</v>
      </c>
      <c r="B31" s="22">
        <f>(B11 - B26)/1000</f>
        <v>9</v>
      </c>
      <c r="C31" s="27" t="s">
        <v>181</v>
      </c>
    </row>
    <row r="32" spans="1:23" ht="14.25" customHeight="1" x14ac:dyDescent="0.25">
      <c r="A32" s="2" t="s">
        <v>182</v>
      </c>
      <c r="B32" s="22">
        <f>(B12 - B27)/1000</f>
        <v>0.1125</v>
      </c>
      <c r="C32" s="27" t="s">
        <v>183</v>
      </c>
    </row>
    <row r="33" spans="1:4" ht="14.25" customHeight="1" x14ac:dyDescent="0.25">
      <c r="C33" s="28"/>
    </row>
    <row r="34" spans="1:4" ht="14.25" customHeight="1" x14ac:dyDescent="0.25">
      <c r="A34" s="20" t="s">
        <v>184</v>
      </c>
      <c r="B34" s="18"/>
      <c r="C34" s="27" t="s">
        <v>185</v>
      </c>
    </row>
    <row r="35" spans="1:4" ht="14.25" customHeight="1" x14ac:dyDescent="0.25">
      <c r="A35" s="2" t="s">
        <v>186</v>
      </c>
      <c r="B35" s="31">
        <f>IF(B14&gt;0, (B14-B24)/B14, "")</f>
        <v>0.29279351576919987</v>
      </c>
      <c r="C35" s="27" t="s">
        <v>187</v>
      </c>
      <c r="D35" s="8" t="s">
        <v>188</v>
      </c>
    </row>
    <row r="36" spans="1:4" ht="14.25" customHeight="1" x14ac:dyDescent="0.25">
      <c r="A36" s="2" t="s">
        <v>189</v>
      </c>
      <c r="B36" s="31">
        <f>IF(B11&gt;0, (B11-B26)/B11, "")</f>
        <v>1</v>
      </c>
      <c r="C36" s="27" t="s">
        <v>190</v>
      </c>
      <c r="D36" s="8" t="s">
        <v>191</v>
      </c>
    </row>
    <row r="37" spans="1:4" ht="14.25" customHeight="1" x14ac:dyDescent="0.25">
      <c r="A37" s="2" t="s">
        <v>192</v>
      </c>
      <c r="B37" s="31">
        <f>IF(B12&gt;0, (B12-B27)/B12, "")</f>
        <v>1</v>
      </c>
      <c r="C37" s="27" t="s">
        <v>193</v>
      </c>
      <c r="D37" s="8" t="s">
        <v>194</v>
      </c>
    </row>
    <row r="38" spans="1:4" ht="14.25" customHeight="1" x14ac:dyDescent="0.25">
      <c r="C38" s="28"/>
    </row>
    <row r="39" spans="1:4" ht="14.25" customHeight="1" x14ac:dyDescent="0.25">
      <c r="A39" s="20" t="s">
        <v>195</v>
      </c>
      <c r="B39" s="18"/>
      <c r="C39" s="27" t="s">
        <v>196</v>
      </c>
      <c r="D39" s="8" t="s">
        <v>197</v>
      </c>
    </row>
    <row r="40" spans="1:4" ht="14.25" customHeight="1" x14ac:dyDescent="0.25">
      <c r="A40" s="2" t="s">
        <v>198</v>
      </c>
      <c r="B40" s="22">
        <f>IF(C0_Inputs!C8&gt;0, B8/C0_Inputs!C8, "")</f>
        <v>3750</v>
      </c>
      <c r="C40" s="27" t="s">
        <v>199</v>
      </c>
      <c r="D40" s="8" t="s">
        <v>200</v>
      </c>
    </row>
    <row r="41" spans="1:4" ht="14.25" customHeight="1" x14ac:dyDescent="0.25">
      <c r="A41" s="2" t="s">
        <v>201</v>
      </c>
      <c r="B41" s="22">
        <f>IF(C0_Inputs!C8&gt;0, B14/C0_Inputs!C8, "")</f>
        <v>12.461</v>
      </c>
      <c r="C41" s="27" t="s">
        <v>202</v>
      </c>
      <c r="D41" s="8" t="s">
        <v>203</v>
      </c>
    </row>
    <row r="42" spans="1:4" ht="14.25" customHeight="1" x14ac:dyDescent="0.25">
      <c r="A42" s="2" t="s">
        <v>204</v>
      </c>
      <c r="B42" s="22">
        <f>IF(C0_Inputs!C8&gt;0, B18/C0_Inputs!C8, "")</f>
        <v>41250</v>
      </c>
      <c r="C42" s="27" t="s">
        <v>205</v>
      </c>
      <c r="D42" s="8" t="s">
        <v>206</v>
      </c>
    </row>
    <row r="43" spans="1:4" ht="14.25" customHeight="1" x14ac:dyDescent="0.25">
      <c r="A43" s="2" t="s">
        <v>207</v>
      </c>
      <c r="B43" s="22">
        <f>IF(C0_Inputs!C8&gt;0, B24/C0_Inputs!C8, "")</f>
        <v>8.8125</v>
      </c>
      <c r="C43" s="27" t="s">
        <v>208</v>
      </c>
      <c r="D43" s="8" t="s">
        <v>209</v>
      </c>
    </row>
    <row r="44" spans="1:4" ht="14.25" customHeight="1" x14ac:dyDescent="0.25">
      <c r="A44" s="2" t="s">
        <v>210</v>
      </c>
      <c r="B44" s="22">
        <f>B15 - B25</f>
        <v>97.293333333333351</v>
      </c>
      <c r="C44" s="27" t="s">
        <v>211</v>
      </c>
      <c r="D44" s="8" t="s">
        <v>212</v>
      </c>
    </row>
    <row r="45" spans="1:4" ht="14.25" customHeight="1" x14ac:dyDescent="0.25">
      <c r="C45" s="28"/>
    </row>
    <row r="46" spans="1:4" ht="14.25" customHeight="1" x14ac:dyDescent="0.25">
      <c r="A46" s="2" t="s">
        <v>213</v>
      </c>
      <c r="B46" s="22">
        <f>IF(B5&gt;0, B11*1000/B5, "")</f>
        <v>8</v>
      </c>
      <c r="C46" s="27" t="s">
        <v>214</v>
      </c>
      <c r="D46" s="8" t="s">
        <v>215</v>
      </c>
    </row>
    <row r="47" spans="1:4" ht="14.25" customHeight="1" x14ac:dyDescent="0.25">
      <c r="A47" s="2" t="s">
        <v>216</v>
      </c>
      <c r="B47" s="22">
        <f>IF(B5&gt;0, B26*1000/B5, "")</f>
        <v>0</v>
      </c>
      <c r="C47" s="27" t="s">
        <v>217</v>
      </c>
      <c r="D47" s="8" t="s">
        <v>218</v>
      </c>
    </row>
    <row r="48" spans="1:4" ht="14.25" customHeight="1" x14ac:dyDescent="0.25">
      <c r="A48" s="2" t="s">
        <v>219</v>
      </c>
      <c r="B48" s="22">
        <f>IF(B5&gt;0, B12*1000/B5, "")</f>
        <v>0.1</v>
      </c>
      <c r="C48" s="27" t="s">
        <v>220</v>
      </c>
      <c r="D48" s="8" t="s">
        <v>221</v>
      </c>
    </row>
    <row r="49" spans="1:4" ht="14.25" customHeight="1" x14ac:dyDescent="0.25">
      <c r="A49" s="2" t="s">
        <v>222</v>
      </c>
      <c r="B49" s="22">
        <f>IF(B5&gt;0, B27*1000/B5, "")</f>
        <v>0</v>
      </c>
      <c r="C49" s="27" t="s">
        <v>223</v>
      </c>
      <c r="D49" s="8" t="s">
        <v>224</v>
      </c>
    </row>
    <row r="50" spans="1:4" ht="14.25" customHeight="1" x14ac:dyDescent="0.25">
      <c r="C50" s="28"/>
    </row>
    <row r="51" spans="1:4" ht="14.25" customHeight="1" x14ac:dyDescent="0.25">
      <c r="A51" s="20" t="s">
        <v>225</v>
      </c>
      <c r="B51" s="32"/>
      <c r="C51" s="27" t="s">
        <v>226</v>
      </c>
    </row>
    <row r="52" spans="1:4" ht="14.25" customHeight="1" x14ac:dyDescent="0.25">
      <c r="A52" s="2" t="s">
        <v>227</v>
      </c>
      <c r="B52" s="22">
        <f>IF(B5&gt;0, B9*1000000/B5, "")</f>
        <v>247.96</v>
      </c>
      <c r="C52" s="27" t="s">
        <v>228</v>
      </c>
    </row>
    <row r="53" spans="1:4" ht="14.25" customHeight="1" x14ac:dyDescent="0.25">
      <c r="A53" s="2" t="s">
        <v>229</v>
      </c>
      <c r="B53" s="22">
        <f>IF(B5&gt;0, B10*1000000/B5, "")</f>
        <v>61</v>
      </c>
      <c r="C53" s="27" t="s">
        <v>230</v>
      </c>
    </row>
    <row r="54" spans="1:4" ht="14.25" customHeight="1" x14ac:dyDescent="0.25">
      <c r="A54" s="2" t="s">
        <v>231</v>
      </c>
      <c r="B54" s="22">
        <f>IF(B5&gt;0, B13*1000000/B5, "")</f>
        <v>23.333333333333332</v>
      </c>
      <c r="C54" s="27" t="s">
        <v>232</v>
      </c>
    </row>
    <row r="55" spans="1:4" ht="14.25" customHeight="1" x14ac:dyDescent="0.25">
      <c r="A55" s="2" t="s">
        <v>233</v>
      </c>
      <c r="B55" s="22">
        <f>IF(B5&gt;0, B21*1000000/B5, "")</f>
        <v>208.33333333333337</v>
      </c>
      <c r="C55" s="27" t="s">
        <v>234</v>
      </c>
    </row>
    <row r="56" spans="1:4" ht="14.25" customHeight="1" x14ac:dyDescent="0.25">
      <c r="A56" s="2" t="s">
        <v>235</v>
      </c>
      <c r="B56" s="22">
        <f>IF(B5&gt;0, (B22+B23)*1000000/B5, "")</f>
        <v>26.666666666666668</v>
      </c>
      <c r="C56" s="27" t="s">
        <v>236</v>
      </c>
    </row>
    <row r="57" spans="1:4" ht="14.25" customHeight="1" x14ac:dyDescent="0.25"/>
    <row r="58" spans="1:4" ht="14.25" customHeight="1" x14ac:dyDescent="0.25"/>
    <row r="59" spans="1:4" ht="14.25" customHeight="1" x14ac:dyDescent="0.25"/>
    <row r="60" spans="1:4" ht="14.25" customHeight="1" x14ac:dyDescent="0.25"/>
    <row r="61" spans="1:4" ht="14.25" customHeight="1" x14ac:dyDescent="0.25"/>
    <row r="62" spans="1:4" ht="14.25" customHeight="1" x14ac:dyDescent="0.25"/>
    <row r="63" spans="1:4" ht="14.25" customHeight="1" x14ac:dyDescent="0.25"/>
    <row r="64" spans="1: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B35">
    <cfRule type="expression" dxfId="1" priority="1" stopIfTrue="1">
      <formula>B35&gt;=0</formula>
    </cfRule>
    <cfRule type="expression" dxfId="0" priority="2" stopIfTrue="1">
      <formula>B35&lt;0</formula>
    </cfRule>
  </conditionalFormatting>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0"/>
  <sheetViews>
    <sheetView tabSelected="1" zoomScale="130" zoomScaleNormal="130" workbookViewId="0">
      <selection activeCell="L1" sqref="L1:L1048576"/>
    </sheetView>
  </sheetViews>
  <sheetFormatPr defaultColWidth="14.42578125" defaultRowHeight="15" customHeight="1" x14ac:dyDescent="0.25"/>
  <cols>
    <col min="1" max="1" width="24.28515625" customWidth="1"/>
    <col min="2" max="2" width="30" customWidth="1"/>
    <col min="3" max="3" width="22.5703125" customWidth="1"/>
    <col min="4" max="25" width="8.7109375" customWidth="1"/>
  </cols>
  <sheetData>
    <row r="1" spans="1:2" ht="14.25" customHeight="1" x14ac:dyDescent="0.25">
      <c r="A1" s="9" t="s">
        <v>237</v>
      </c>
      <c r="B1" s="10"/>
    </row>
    <row r="2" spans="1:2" ht="14.25" customHeight="1" x14ac:dyDescent="0.25">
      <c r="A2" s="11" t="str">
        <f>_xlfn.IFS($B$6&lt;=$B$5*0.95,"GO",ABS($B$6-$B$5)&lt;=$B$5*0.05,"MAYBE",TRUE,"NO-GO")</f>
        <v>GO</v>
      </c>
      <c r="B2" s="6" t="s">
        <v>238</v>
      </c>
    </row>
    <row r="3" spans="1:2" ht="14.25" customHeight="1" x14ac:dyDescent="0.25">
      <c r="A3" s="12"/>
      <c r="B3" s="12"/>
    </row>
    <row r="4" spans="1:2" ht="14.25" customHeight="1" x14ac:dyDescent="0.25">
      <c r="A4" s="47" t="s">
        <v>239</v>
      </c>
      <c r="B4" s="40"/>
    </row>
    <row r="5" spans="1:2" ht="14.25" customHeight="1" x14ac:dyDescent="0.25">
      <c r="A5" s="2" t="s">
        <v>149</v>
      </c>
      <c r="B5" s="22">
        <f>'C1_Emissions'!B14</f>
        <v>373.83</v>
      </c>
    </row>
    <row r="6" spans="1:2" ht="14.25" customHeight="1" x14ac:dyDescent="0.25">
      <c r="A6" s="2" t="s">
        <v>168</v>
      </c>
      <c r="B6" s="22">
        <f>'C1_Emissions'!B24</f>
        <v>264.375</v>
      </c>
    </row>
    <row r="7" spans="1:2" ht="14.25" customHeight="1" x14ac:dyDescent="0.25"/>
    <row r="8" spans="1:2" ht="14.25" customHeight="1" x14ac:dyDescent="0.25"/>
    <row r="9" spans="1:2" ht="14.25" customHeight="1" x14ac:dyDescent="0.25"/>
    <row r="10" spans="1:2" ht="14.25" customHeight="1" x14ac:dyDescent="0.25"/>
    <row r="11" spans="1:2" ht="14.25" customHeight="1" x14ac:dyDescent="0.25"/>
    <row r="12" spans="1:2" ht="14.25" customHeight="1" x14ac:dyDescent="0.25"/>
    <row r="13" spans="1:2" ht="14.25" customHeight="1" x14ac:dyDescent="0.25"/>
    <row r="14" spans="1:2" ht="14.25" customHeight="1" x14ac:dyDescent="0.25"/>
    <row r="15" spans="1:2" ht="14.25" customHeight="1" x14ac:dyDescent="0.25"/>
    <row r="16" spans="1:2" ht="14.25" customHeight="1" x14ac:dyDescent="0.25"/>
    <row r="17" spans="1:2" ht="14.25" customHeight="1" x14ac:dyDescent="0.25"/>
    <row r="18" spans="1:2" ht="14.25" customHeight="1" x14ac:dyDescent="0.25"/>
    <row r="19" spans="1:2" ht="14.25" customHeight="1" x14ac:dyDescent="0.25"/>
    <row r="20" spans="1:2" ht="14.25" customHeight="1" x14ac:dyDescent="0.25"/>
    <row r="21" spans="1:2" ht="14.25" customHeight="1" x14ac:dyDescent="0.25"/>
    <row r="22" spans="1:2" ht="14.25" customHeight="1" x14ac:dyDescent="0.25"/>
    <row r="23" spans="1:2" ht="14.25" customHeight="1" x14ac:dyDescent="0.25"/>
    <row r="24" spans="1:2" ht="14.25" customHeight="1" x14ac:dyDescent="0.25"/>
    <row r="25" spans="1:2" ht="14.25" customHeight="1" x14ac:dyDescent="0.25"/>
    <row r="26" spans="1:2" ht="14.25" customHeight="1" x14ac:dyDescent="0.25"/>
    <row r="27" spans="1:2" ht="14.25" customHeight="1" x14ac:dyDescent="0.25">
      <c r="A27" s="47" t="s">
        <v>240</v>
      </c>
      <c r="B27" s="40"/>
    </row>
    <row r="28" spans="1:2" ht="14.25" customHeight="1" x14ac:dyDescent="0.25">
      <c r="A28" s="2" t="s">
        <v>152</v>
      </c>
      <c r="B28" s="22">
        <f>'C1_Emissions'!B15</f>
        <v>332.29333333333335</v>
      </c>
    </row>
    <row r="29" spans="1:2" ht="14.25" customHeight="1" x14ac:dyDescent="0.25">
      <c r="A29" s="2" t="s">
        <v>170</v>
      </c>
      <c r="B29" s="22">
        <f>'C1_Emissions'!B25</f>
        <v>235</v>
      </c>
    </row>
    <row r="30" spans="1:2" ht="14.25" customHeight="1" x14ac:dyDescent="0.25"/>
    <row r="31" spans="1:2" ht="14.25" customHeight="1" x14ac:dyDescent="0.25"/>
    <row r="32" spans="1: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spans="1:2" ht="14.25" customHeight="1" x14ac:dyDescent="0.25">
      <c r="A49" s="47" t="s">
        <v>241</v>
      </c>
      <c r="B49" s="40"/>
    </row>
    <row r="50" spans="1:2" ht="14.25" customHeight="1" x14ac:dyDescent="0.25">
      <c r="A50" s="2" t="s">
        <v>242</v>
      </c>
      <c r="B50" s="13">
        <f>'C1_Emissions'!B41</f>
        <v>12.461</v>
      </c>
    </row>
    <row r="51" spans="1:2" ht="14.25" customHeight="1" x14ac:dyDescent="0.25">
      <c r="A51" s="2" t="s">
        <v>243</v>
      </c>
      <c r="B51" s="13">
        <f>'C1_Emissions'!B43</f>
        <v>8.8125</v>
      </c>
    </row>
    <row r="52" spans="1:2" ht="14.25" customHeight="1" x14ac:dyDescent="0.25"/>
    <row r="53" spans="1:2" ht="14.25" customHeight="1" x14ac:dyDescent="0.25"/>
    <row r="54" spans="1:2" ht="14.25" customHeight="1" x14ac:dyDescent="0.25"/>
    <row r="55" spans="1:2" ht="14.25" customHeight="1" x14ac:dyDescent="0.25"/>
    <row r="56" spans="1:2" ht="14.25" customHeight="1" x14ac:dyDescent="0.25"/>
    <row r="57" spans="1:2" ht="14.25" customHeight="1" x14ac:dyDescent="0.25"/>
    <row r="58" spans="1:2" ht="14.25" customHeight="1" x14ac:dyDescent="0.25"/>
    <row r="59" spans="1:2" ht="14.25" customHeight="1" x14ac:dyDescent="0.25"/>
    <row r="60" spans="1:2" ht="14.25" customHeight="1" x14ac:dyDescent="0.25"/>
    <row r="61" spans="1:2" ht="14.25" customHeight="1" x14ac:dyDescent="0.25"/>
    <row r="62" spans="1:2" ht="14.25" customHeight="1" x14ac:dyDescent="0.25"/>
    <row r="63" spans="1:2" ht="14.25" customHeight="1" x14ac:dyDescent="0.25"/>
    <row r="64" spans="1:2" ht="14.25" customHeight="1" x14ac:dyDescent="0.25"/>
    <row r="65" spans="1:2" ht="14.25" customHeight="1" x14ac:dyDescent="0.25"/>
    <row r="66" spans="1:2" ht="14.25" customHeight="1" x14ac:dyDescent="0.25"/>
    <row r="67" spans="1:2" ht="14.25" customHeight="1" x14ac:dyDescent="0.25"/>
    <row r="68" spans="1:2" ht="14.25" customHeight="1" x14ac:dyDescent="0.25"/>
    <row r="69" spans="1:2" ht="14.25" customHeight="1" x14ac:dyDescent="0.25"/>
    <row r="70" spans="1:2" ht="14.25" customHeight="1" x14ac:dyDescent="0.25">
      <c r="A70" s="20" t="s">
        <v>174</v>
      </c>
      <c r="B70" s="18"/>
    </row>
    <row r="71" spans="1:2" ht="14.25" customHeight="1" x14ac:dyDescent="0.25">
      <c r="A71" s="2" t="s">
        <v>177</v>
      </c>
      <c r="B71" s="22">
        <f>'C1_Emissions'!B30</f>
        <v>109.45499999999998</v>
      </c>
    </row>
    <row r="72" spans="1:2" ht="14.25" customHeight="1" x14ac:dyDescent="0.25">
      <c r="A72" s="2" t="s">
        <v>180</v>
      </c>
      <c r="B72" s="22">
        <f>'C1_Emissions'!B31</f>
        <v>9</v>
      </c>
    </row>
    <row r="73" spans="1:2" ht="14.25" customHeight="1" x14ac:dyDescent="0.25">
      <c r="A73" s="2" t="s">
        <v>182</v>
      </c>
      <c r="B73" s="22">
        <f>'C1_Emissions'!B32</f>
        <v>0.1125</v>
      </c>
    </row>
    <row r="74" spans="1:2" ht="14.25" customHeight="1" x14ac:dyDescent="0.25"/>
    <row r="75" spans="1:2" ht="14.25" customHeight="1" x14ac:dyDescent="0.25"/>
    <row r="76" spans="1:2" ht="14.25" customHeight="1" x14ac:dyDescent="0.25"/>
    <row r="77" spans="1:2" ht="14.25" customHeight="1" x14ac:dyDescent="0.25"/>
    <row r="78" spans="1:2" ht="14.25" customHeight="1" x14ac:dyDescent="0.25"/>
    <row r="79" spans="1:2" ht="14.25" customHeight="1" x14ac:dyDescent="0.25"/>
    <row r="80" spans="1:2"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3">
    <mergeCell ref="A4:B4"/>
    <mergeCell ref="A27:B27"/>
    <mergeCell ref="A49:B49"/>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51"/>
  <sheetViews>
    <sheetView topLeftCell="A31" workbookViewId="0"/>
  </sheetViews>
  <sheetFormatPr defaultColWidth="14.42578125" defaultRowHeight="15" customHeight="1" x14ac:dyDescent="0.25"/>
  <cols>
    <col min="1" max="1" width="35.7109375" customWidth="1"/>
    <col min="2" max="2" width="34.42578125" customWidth="1"/>
    <col min="3" max="3" width="52.5703125" customWidth="1"/>
    <col min="4" max="4" width="32.140625" customWidth="1"/>
    <col min="5" max="5" width="42.140625" customWidth="1"/>
    <col min="6" max="6" width="34.42578125" customWidth="1"/>
    <col min="7" max="7" width="99.140625" customWidth="1"/>
  </cols>
  <sheetData>
    <row r="1" spans="1:7" ht="15" customHeight="1" x14ac:dyDescent="0.25">
      <c r="A1" s="14" t="s">
        <v>244</v>
      </c>
      <c r="B1" s="14" t="s">
        <v>245</v>
      </c>
      <c r="C1" s="14" t="s">
        <v>246</v>
      </c>
      <c r="D1" s="14" t="s">
        <v>247</v>
      </c>
      <c r="E1" s="14" t="s">
        <v>248</v>
      </c>
      <c r="F1" s="14" t="s">
        <v>249</v>
      </c>
      <c r="G1" s="14" t="s">
        <v>250</v>
      </c>
    </row>
    <row r="2" spans="1:7" ht="15" customHeight="1" x14ac:dyDescent="0.25">
      <c r="A2" s="15" t="s">
        <v>251</v>
      </c>
      <c r="B2" s="15"/>
      <c r="C2" s="15"/>
      <c r="D2" s="15"/>
      <c r="E2" s="15"/>
      <c r="F2" s="15"/>
      <c r="G2" s="15"/>
    </row>
    <row r="3" spans="1:7" ht="15" customHeight="1" x14ac:dyDescent="0.25">
      <c r="A3" s="16"/>
      <c r="B3" s="16" t="s">
        <v>14</v>
      </c>
      <c r="C3" s="16" t="s">
        <v>252</v>
      </c>
      <c r="D3" s="16" t="s">
        <v>253</v>
      </c>
      <c r="E3" s="16" t="s">
        <v>254</v>
      </c>
      <c r="F3" s="16" t="s">
        <v>255</v>
      </c>
      <c r="G3" s="16" t="s">
        <v>256</v>
      </c>
    </row>
    <row r="4" spans="1:7" ht="15" customHeight="1" x14ac:dyDescent="0.25">
      <c r="A4" s="16"/>
      <c r="B4" s="16" t="s">
        <v>17</v>
      </c>
      <c r="C4" s="16" t="s">
        <v>18</v>
      </c>
      <c r="D4" s="16" t="s">
        <v>257</v>
      </c>
      <c r="E4" s="16" t="s">
        <v>258</v>
      </c>
      <c r="F4" s="16" t="s">
        <v>259</v>
      </c>
      <c r="G4" s="16" t="s">
        <v>260</v>
      </c>
    </row>
    <row r="5" spans="1:7" ht="15" customHeight="1" x14ac:dyDescent="0.25">
      <c r="A5" s="16"/>
      <c r="B5" s="16" t="s">
        <v>20</v>
      </c>
      <c r="C5" s="16" t="s">
        <v>261</v>
      </c>
      <c r="D5" s="16" t="s">
        <v>262</v>
      </c>
      <c r="E5" s="16" t="s">
        <v>263</v>
      </c>
      <c r="F5" s="16" t="s">
        <v>264</v>
      </c>
      <c r="G5" s="16" t="s">
        <v>265</v>
      </c>
    </row>
    <row r="6" spans="1:7" ht="15" customHeight="1" x14ac:dyDescent="0.25">
      <c r="A6" s="15" t="s">
        <v>266</v>
      </c>
      <c r="B6" s="15"/>
      <c r="C6" s="15"/>
      <c r="D6" s="15"/>
      <c r="E6" s="15"/>
      <c r="F6" s="15"/>
      <c r="G6" s="15"/>
    </row>
    <row r="7" spans="1:7" ht="15" customHeight="1" x14ac:dyDescent="0.25">
      <c r="A7" s="16"/>
      <c r="B7" s="16" t="s">
        <v>28</v>
      </c>
      <c r="C7" s="16" t="s">
        <v>267</v>
      </c>
      <c r="D7" s="16" t="s">
        <v>268</v>
      </c>
      <c r="E7" s="16" t="s">
        <v>269</v>
      </c>
      <c r="F7" s="16" t="s">
        <v>270</v>
      </c>
      <c r="G7" s="16" t="s">
        <v>271</v>
      </c>
    </row>
    <row r="8" spans="1:7" ht="15" customHeight="1" x14ac:dyDescent="0.25">
      <c r="A8" s="16"/>
      <c r="B8" s="16" t="s">
        <v>32</v>
      </c>
      <c r="C8" s="16" t="s">
        <v>272</v>
      </c>
      <c r="D8" s="16" t="s">
        <v>273</v>
      </c>
      <c r="E8" s="16" t="s">
        <v>274</v>
      </c>
      <c r="F8" s="16" t="s">
        <v>275</v>
      </c>
      <c r="G8" s="16" t="s">
        <v>276</v>
      </c>
    </row>
    <row r="9" spans="1:7" ht="15" customHeight="1" x14ac:dyDescent="0.25">
      <c r="A9" s="16"/>
      <c r="B9" s="16" t="s">
        <v>277</v>
      </c>
      <c r="C9" s="16" t="s">
        <v>278</v>
      </c>
      <c r="D9" s="16" t="s">
        <v>279</v>
      </c>
      <c r="E9" s="16" t="s">
        <v>280</v>
      </c>
      <c r="F9" s="16" t="s">
        <v>281</v>
      </c>
      <c r="G9" s="16" t="s">
        <v>282</v>
      </c>
    </row>
    <row r="10" spans="1:7" ht="15" customHeight="1" x14ac:dyDescent="0.25">
      <c r="A10" s="16"/>
      <c r="B10" s="16" t="s">
        <v>39</v>
      </c>
      <c r="C10" s="16" t="s">
        <v>283</v>
      </c>
      <c r="D10" s="16" t="s">
        <v>284</v>
      </c>
      <c r="E10" s="16" t="s">
        <v>285</v>
      </c>
      <c r="F10" s="16" t="s">
        <v>286</v>
      </c>
      <c r="G10" s="16" t="s">
        <v>287</v>
      </c>
    </row>
    <row r="11" spans="1:7" ht="15" customHeight="1" x14ac:dyDescent="0.25">
      <c r="A11" s="16"/>
      <c r="B11" s="16" t="s">
        <v>42</v>
      </c>
      <c r="C11" s="16" t="s">
        <v>288</v>
      </c>
      <c r="D11" s="16" t="s">
        <v>289</v>
      </c>
      <c r="E11" s="16" t="s">
        <v>285</v>
      </c>
      <c r="F11" s="16" t="s">
        <v>290</v>
      </c>
      <c r="G11" s="16" t="s">
        <v>291</v>
      </c>
    </row>
    <row r="12" spans="1:7" ht="15" customHeight="1" x14ac:dyDescent="0.25">
      <c r="A12" s="15" t="s">
        <v>292</v>
      </c>
      <c r="B12" s="15"/>
      <c r="C12" s="15"/>
      <c r="D12" s="15"/>
      <c r="E12" s="15"/>
      <c r="F12" s="15"/>
      <c r="G12" s="15"/>
    </row>
    <row r="13" spans="1:7" ht="15" customHeight="1" x14ac:dyDescent="0.25">
      <c r="A13" s="16"/>
      <c r="B13" s="16" t="s">
        <v>59</v>
      </c>
      <c r="C13" s="16" t="s">
        <v>293</v>
      </c>
      <c r="D13" s="16" t="s">
        <v>294</v>
      </c>
      <c r="E13" s="16" t="s">
        <v>295</v>
      </c>
      <c r="F13" s="16" t="s">
        <v>296</v>
      </c>
      <c r="G13" s="16" t="s">
        <v>297</v>
      </c>
    </row>
    <row r="14" spans="1:7" ht="15" customHeight="1" x14ac:dyDescent="0.25">
      <c r="A14" s="16"/>
      <c r="B14" s="16" t="s">
        <v>62</v>
      </c>
      <c r="C14" s="16" t="s">
        <v>298</v>
      </c>
      <c r="D14" s="16" t="s">
        <v>299</v>
      </c>
      <c r="E14" s="16" t="s">
        <v>300</v>
      </c>
      <c r="F14" s="16" t="s">
        <v>301</v>
      </c>
      <c r="G14" s="16" t="s">
        <v>302</v>
      </c>
    </row>
    <row r="15" spans="1:7" ht="15" customHeight="1" x14ac:dyDescent="0.25">
      <c r="A15" s="16"/>
      <c r="B15" s="16" t="s">
        <v>75</v>
      </c>
      <c r="C15" s="16" t="s">
        <v>303</v>
      </c>
      <c r="D15" s="16" t="s">
        <v>304</v>
      </c>
      <c r="E15" s="16" t="s">
        <v>305</v>
      </c>
      <c r="F15" s="16" t="s">
        <v>306</v>
      </c>
      <c r="G15" s="16" t="s">
        <v>307</v>
      </c>
    </row>
    <row r="16" spans="1:7" ht="15" customHeight="1" x14ac:dyDescent="0.25">
      <c r="A16" s="16"/>
      <c r="B16" s="16" t="s">
        <v>66</v>
      </c>
      <c r="C16" s="16" t="s">
        <v>308</v>
      </c>
      <c r="D16" s="16" t="s">
        <v>309</v>
      </c>
      <c r="E16" s="16" t="s">
        <v>310</v>
      </c>
      <c r="F16" s="16" t="s">
        <v>311</v>
      </c>
      <c r="G16" s="16" t="s">
        <v>312</v>
      </c>
    </row>
    <row r="17" spans="1:7" ht="15" customHeight="1" x14ac:dyDescent="0.25">
      <c r="A17" s="16"/>
      <c r="B17" s="16" t="s">
        <v>70</v>
      </c>
      <c r="C17" s="16" t="s">
        <v>313</v>
      </c>
      <c r="D17" s="16" t="s">
        <v>314</v>
      </c>
      <c r="E17" s="16" t="s">
        <v>315</v>
      </c>
      <c r="F17" s="16" t="s">
        <v>316</v>
      </c>
      <c r="G17" s="16" t="s">
        <v>317</v>
      </c>
    </row>
    <row r="18" spans="1:7" ht="15" customHeight="1" x14ac:dyDescent="0.25">
      <c r="A18" s="16"/>
      <c r="B18" s="16" t="s">
        <v>73</v>
      </c>
      <c r="C18" s="16" t="s">
        <v>318</v>
      </c>
      <c r="D18" s="16" t="s">
        <v>319</v>
      </c>
      <c r="E18" s="16" t="s">
        <v>320</v>
      </c>
      <c r="F18" s="16" t="s">
        <v>321</v>
      </c>
      <c r="G18" s="16" t="s">
        <v>322</v>
      </c>
    </row>
    <row r="19" spans="1:7" ht="15" customHeight="1" x14ac:dyDescent="0.25">
      <c r="A19" s="16"/>
      <c r="B19" s="16" t="s">
        <v>323</v>
      </c>
      <c r="C19" s="16" t="s">
        <v>324</v>
      </c>
      <c r="D19" s="16" t="s">
        <v>325</v>
      </c>
      <c r="E19" s="16" t="s">
        <v>326</v>
      </c>
      <c r="F19" s="16" t="s">
        <v>327</v>
      </c>
      <c r="G19" s="16" t="s">
        <v>328</v>
      </c>
    </row>
    <row r="20" spans="1:7" ht="15" customHeight="1" x14ac:dyDescent="0.25">
      <c r="A20" s="15" t="s">
        <v>329</v>
      </c>
      <c r="B20" s="15"/>
      <c r="C20" s="15"/>
      <c r="D20" s="15"/>
      <c r="E20" s="15"/>
      <c r="F20" s="15"/>
      <c r="G20" s="15"/>
    </row>
    <row r="21" spans="1:7" ht="15" customHeight="1" x14ac:dyDescent="0.25">
      <c r="A21" s="16"/>
      <c r="B21" s="16" t="s">
        <v>330</v>
      </c>
      <c r="C21" s="16" t="s">
        <v>331</v>
      </c>
      <c r="D21" s="16" t="s">
        <v>332</v>
      </c>
      <c r="E21" s="16" t="s">
        <v>333</v>
      </c>
      <c r="F21" s="16" t="s">
        <v>334</v>
      </c>
      <c r="G21" s="16" t="s">
        <v>335</v>
      </c>
    </row>
    <row r="22" spans="1:7" ht="15" customHeight="1" x14ac:dyDescent="0.25">
      <c r="A22" s="16"/>
      <c r="B22" s="16" t="s">
        <v>89</v>
      </c>
      <c r="C22" s="16" t="s">
        <v>336</v>
      </c>
      <c r="D22" s="16" t="s">
        <v>337</v>
      </c>
      <c r="E22" s="16" t="s">
        <v>338</v>
      </c>
      <c r="F22" s="16" t="s">
        <v>339</v>
      </c>
      <c r="G22" s="16" t="s">
        <v>340</v>
      </c>
    </row>
    <row r="23" spans="1:7" ht="15" customHeight="1" x14ac:dyDescent="0.25">
      <c r="A23" s="16"/>
      <c r="B23" s="16" t="s">
        <v>92</v>
      </c>
      <c r="C23" s="16" t="s">
        <v>341</v>
      </c>
      <c r="D23" s="16" t="s">
        <v>342</v>
      </c>
      <c r="E23" s="16" t="s">
        <v>343</v>
      </c>
      <c r="F23" s="16" t="s">
        <v>344</v>
      </c>
      <c r="G23" s="16" t="s">
        <v>345</v>
      </c>
    </row>
    <row r="24" spans="1:7" ht="15" customHeight="1" x14ac:dyDescent="0.25">
      <c r="A24" s="16"/>
      <c r="B24" s="16" t="s">
        <v>94</v>
      </c>
      <c r="C24" s="16" t="s">
        <v>346</v>
      </c>
      <c r="D24" s="16" t="s">
        <v>347</v>
      </c>
      <c r="E24" s="16" t="s">
        <v>348</v>
      </c>
      <c r="F24" s="16" t="s">
        <v>349</v>
      </c>
      <c r="G24" s="16" t="s">
        <v>350</v>
      </c>
    </row>
    <row r="25" spans="1:7" ht="15" customHeight="1" x14ac:dyDescent="0.25">
      <c r="A25" s="16"/>
      <c r="B25" s="16" t="s">
        <v>351</v>
      </c>
      <c r="C25" s="16" t="s">
        <v>352</v>
      </c>
      <c r="D25" s="16" t="s">
        <v>353</v>
      </c>
      <c r="E25" s="16" t="s">
        <v>333</v>
      </c>
      <c r="F25" s="16" t="s">
        <v>334</v>
      </c>
      <c r="G25" s="16" t="s">
        <v>335</v>
      </c>
    </row>
    <row r="26" spans="1:7" ht="15" customHeight="1" x14ac:dyDescent="0.25">
      <c r="A26" s="16"/>
      <c r="B26" s="16" t="s">
        <v>354</v>
      </c>
      <c r="C26" s="16" t="s">
        <v>355</v>
      </c>
      <c r="D26" s="16" t="s">
        <v>356</v>
      </c>
      <c r="E26" s="16" t="s">
        <v>357</v>
      </c>
      <c r="F26" s="16" t="s">
        <v>358</v>
      </c>
      <c r="G26" s="16" t="s">
        <v>359</v>
      </c>
    </row>
    <row r="27" spans="1:7" ht="15" customHeight="1" x14ac:dyDescent="0.25">
      <c r="A27" s="16"/>
      <c r="B27" s="16" t="s">
        <v>102</v>
      </c>
      <c r="C27" s="16" t="s">
        <v>360</v>
      </c>
      <c r="D27" s="16" t="s">
        <v>361</v>
      </c>
      <c r="E27" s="16" t="s">
        <v>362</v>
      </c>
      <c r="F27" s="16" t="s">
        <v>363</v>
      </c>
      <c r="G27" s="16" t="s">
        <v>364</v>
      </c>
    </row>
    <row r="28" spans="1:7" ht="15" customHeight="1" x14ac:dyDescent="0.25">
      <c r="A28" s="16"/>
      <c r="B28" s="16" t="s">
        <v>365</v>
      </c>
      <c r="C28" s="16" t="s">
        <v>366</v>
      </c>
      <c r="D28" s="16" t="s">
        <v>367</v>
      </c>
      <c r="E28" s="16" t="s">
        <v>362</v>
      </c>
      <c r="F28" s="16" t="s">
        <v>363</v>
      </c>
      <c r="G28" s="16" t="s">
        <v>368</v>
      </c>
    </row>
    <row r="29" spans="1:7" ht="15" customHeight="1" x14ac:dyDescent="0.25">
      <c r="A29" s="15" t="s">
        <v>369</v>
      </c>
      <c r="B29" s="15"/>
      <c r="C29" s="15"/>
      <c r="D29" s="15"/>
      <c r="E29" s="15"/>
      <c r="F29" s="15"/>
      <c r="G29" s="15"/>
    </row>
    <row r="30" spans="1:7" ht="15" customHeight="1" x14ac:dyDescent="0.25">
      <c r="A30" s="16"/>
      <c r="B30" s="16" t="s">
        <v>370</v>
      </c>
      <c r="C30" s="16" t="s">
        <v>371</v>
      </c>
      <c r="D30" s="16" t="s">
        <v>372</v>
      </c>
      <c r="E30" s="16" t="s">
        <v>373</v>
      </c>
      <c r="F30" s="16" t="s">
        <v>374</v>
      </c>
      <c r="G30" s="16" t="s">
        <v>375</v>
      </c>
    </row>
    <row r="31" spans="1:7" ht="15" customHeight="1" x14ac:dyDescent="0.25">
      <c r="A31" s="16"/>
      <c r="B31" s="16" t="s">
        <v>376</v>
      </c>
      <c r="C31" s="16" t="s">
        <v>377</v>
      </c>
      <c r="D31" s="16" t="s">
        <v>378</v>
      </c>
      <c r="E31" s="16" t="s">
        <v>373</v>
      </c>
      <c r="F31" s="16" t="s">
        <v>374</v>
      </c>
      <c r="G31" s="16" t="s">
        <v>379</v>
      </c>
    </row>
    <row r="32" spans="1:7" ht="15" customHeight="1" x14ac:dyDescent="0.25">
      <c r="A32" s="16"/>
      <c r="B32" s="16" t="s">
        <v>380</v>
      </c>
      <c r="C32" s="16" t="s">
        <v>381</v>
      </c>
      <c r="D32" s="16" t="s">
        <v>382</v>
      </c>
      <c r="E32" s="16" t="s">
        <v>373</v>
      </c>
      <c r="F32" s="16" t="s">
        <v>374</v>
      </c>
      <c r="G32" s="16" t="s">
        <v>383</v>
      </c>
    </row>
    <row r="33" spans="1:7" ht="15" customHeight="1" x14ac:dyDescent="0.25">
      <c r="A33" s="15" t="s">
        <v>384</v>
      </c>
      <c r="B33" s="15"/>
      <c r="C33" s="15"/>
      <c r="D33" s="15"/>
      <c r="E33" s="15"/>
      <c r="F33" s="15"/>
      <c r="G33" s="15"/>
    </row>
    <row r="34" spans="1:7" ht="15" customHeight="1" x14ac:dyDescent="0.25">
      <c r="A34" s="16"/>
      <c r="B34" s="16" t="s">
        <v>385</v>
      </c>
      <c r="C34" s="16" t="s">
        <v>386</v>
      </c>
      <c r="D34" s="16" t="s">
        <v>387</v>
      </c>
      <c r="E34" s="16" t="s">
        <v>373</v>
      </c>
      <c r="F34" s="16" t="s">
        <v>374</v>
      </c>
      <c r="G34" s="16" t="s">
        <v>388</v>
      </c>
    </row>
    <row r="35" spans="1:7" ht="15" customHeight="1" x14ac:dyDescent="0.25">
      <c r="A35" s="16"/>
      <c r="B35" s="16" t="s">
        <v>389</v>
      </c>
      <c r="C35" s="16" t="s">
        <v>390</v>
      </c>
      <c r="D35" s="16" t="s">
        <v>391</v>
      </c>
      <c r="E35" s="16" t="s">
        <v>392</v>
      </c>
      <c r="F35" s="16" t="s">
        <v>374</v>
      </c>
      <c r="G35" s="16" t="s">
        <v>393</v>
      </c>
    </row>
    <row r="38" spans="1:7" ht="15" customHeight="1" x14ac:dyDescent="0.25">
      <c r="A38" s="48" t="s">
        <v>394</v>
      </c>
      <c r="B38" s="49"/>
      <c r="C38" s="49"/>
      <c r="D38" s="49"/>
      <c r="E38" s="49"/>
      <c r="F38" s="49"/>
      <c r="G38" s="50"/>
    </row>
    <row r="39" spans="1:7" ht="15" customHeight="1" x14ac:dyDescent="0.25">
      <c r="A39" s="16" t="s">
        <v>395</v>
      </c>
      <c r="B39" s="16" t="s">
        <v>396</v>
      </c>
      <c r="C39" s="16" t="s">
        <v>397</v>
      </c>
      <c r="D39" s="16" t="s">
        <v>398</v>
      </c>
      <c r="E39" s="16" t="s">
        <v>399</v>
      </c>
      <c r="F39" s="16" t="s">
        <v>400</v>
      </c>
      <c r="G39" s="16"/>
    </row>
    <row r="40" spans="1:7" ht="15" customHeight="1" x14ac:dyDescent="0.25">
      <c r="A40" s="16" t="s">
        <v>401</v>
      </c>
      <c r="B40" s="16" t="s">
        <v>402</v>
      </c>
      <c r="C40" s="35">
        <v>1</v>
      </c>
      <c r="D40" s="35">
        <v>1</v>
      </c>
      <c r="E40" s="16" t="s">
        <v>403</v>
      </c>
      <c r="F40" s="16" t="s">
        <v>404</v>
      </c>
    </row>
    <row r="41" spans="1:7" ht="15" customHeight="1" x14ac:dyDescent="0.25">
      <c r="A41" s="16" t="s">
        <v>401</v>
      </c>
      <c r="B41" s="16" t="s">
        <v>405</v>
      </c>
      <c r="C41" s="35">
        <v>1</v>
      </c>
      <c r="D41" s="35">
        <v>1.1499999999999999</v>
      </c>
      <c r="E41" s="16" t="s">
        <v>406</v>
      </c>
      <c r="F41" s="16" t="s">
        <v>407</v>
      </c>
    </row>
    <row r="42" spans="1:7" ht="15" customHeight="1" x14ac:dyDescent="0.25">
      <c r="A42" s="16" t="s">
        <v>401</v>
      </c>
      <c r="B42" s="16" t="s">
        <v>51</v>
      </c>
      <c r="C42" s="35">
        <v>1</v>
      </c>
      <c r="D42" s="35">
        <v>1.05</v>
      </c>
      <c r="E42" s="16" t="s">
        <v>408</v>
      </c>
      <c r="F42" s="16" t="s">
        <v>407</v>
      </c>
    </row>
    <row r="43" spans="1:7" ht="15" customHeight="1" x14ac:dyDescent="0.25">
      <c r="A43" s="16" t="s">
        <v>409</v>
      </c>
      <c r="B43" s="16" t="s">
        <v>402</v>
      </c>
      <c r="C43" s="35">
        <v>1</v>
      </c>
      <c r="D43" s="35">
        <v>1</v>
      </c>
      <c r="E43" s="16" t="s">
        <v>410</v>
      </c>
      <c r="F43" s="16" t="s">
        <v>404</v>
      </c>
    </row>
    <row r="44" spans="1:7" ht="15" customHeight="1" x14ac:dyDescent="0.25">
      <c r="A44" s="16" t="s">
        <v>409</v>
      </c>
      <c r="B44" s="16" t="s">
        <v>405</v>
      </c>
      <c r="C44" s="35">
        <v>1</v>
      </c>
      <c r="D44" s="35">
        <v>1.25</v>
      </c>
      <c r="E44" s="16" t="s">
        <v>411</v>
      </c>
      <c r="F44" s="16" t="s">
        <v>407</v>
      </c>
    </row>
    <row r="45" spans="1:7" ht="15" customHeight="1" x14ac:dyDescent="0.25">
      <c r="A45" s="16" t="s">
        <v>409</v>
      </c>
      <c r="B45" s="16" t="s">
        <v>51</v>
      </c>
      <c r="C45" s="35">
        <v>1</v>
      </c>
      <c r="D45" s="35">
        <v>1.1000000000000001</v>
      </c>
      <c r="E45" s="16" t="s">
        <v>412</v>
      </c>
      <c r="F45" s="16" t="s">
        <v>407</v>
      </c>
    </row>
    <row r="46" spans="1:7" ht="15" customHeight="1" x14ac:dyDescent="0.25">
      <c r="A46" s="16" t="s">
        <v>413</v>
      </c>
      <c r="B46" s="16" t="s">
        <v>402</v>
      </c>
      <c r="C46" s="35">
        <v>1</v>
      </c>
      <c r="D46" s="35">
        <v>1.1499999999999999</v>
      </c>
      <c r="E46" s="16" t="s">
        <v>414</v>
      </c>
      <c r="F46" s="16" t="s">
        <v>407</v>
      </c>
    </row>
    <row r="47" spans="1:7" ht="15" customHeight="1" x14ac:dyDescent="0.25">
      <c r="A47" s="16" t="s">
        <v>413</v>
      </c>
      <c r="B47" s="16" t="s">
        <v>405</v>
      </c>
      <c r="C47" s="35">
        <v>1</v>
      </c>
      <c r="D47" s="35">
        <v>1.35</v>
      </c>
      <c r="E47" s="16" t="s">
        <v>415</v>
      </c>
      <c r="F47" s="16" t="s">
        <v>407</v>
      </c>
    </row>
    <row r="48" spans="1:7" ht="15" customHeight="1" x14ac:dyDescent="0.25">
      <c r="A48" s="16" t="s">
        <v>413</v>
      </c>
      <c r="B48" s="16" t="s">
        <v>51</v>
      </c>
      <c r="C48" s="35">
        <v>1</v>
      </c>
      <c r="D48" s="35">
        <v>1.25</v>
      </c>
      <c r="E48" s="16" t="s">
        <v>416</v>
      </c>
      <c r="F48" s="16" t="s">
        <v>407</v>
      </c>
    </row>
    <row r="49" spans="1:6" ht="15" customHeight="1" x14ac:dyDescent="0.25">
      <c r="A49" s="16" t="s">
        <v>48</v>
      </c>
      <c r="B49" s="16" t="s">
        <v>402</v>
      </c>
      <c r="C49" s="35">
        <v>1</v>
      </c>
      <c r="D49" s="35">
        <v>1</v>
      </c>
      <c r="E49" s="16" t="s">
        <v>417</v>
      </c>
      <c r="F49" s="16" t="s">
        <v>404</v>
      </c>
    </row>
    <row r="50" spans="1:6" ht="15" customHeight="1" x14ac:dyDescent="0.25">
      <c r="A50" s="16" t="s">
        <v>48</v>
      </c>
      <c r="B50" s="16" t="s">
        <v>405</v>
      </c>
      <c r="C50" s="35">
        <v>1</v>
      </c>
      <c r="D50" s="35">
        <v>1</v>
      </c>
      <c r="E50" s="16" t="s">
        <v>418</v>
      </c>
      <c r="F50" s="16" t="s">
        <v>404</v>
      </c>
    </row>
    <row r="51" spans="1:6" ht="15" customHeight="1" x14ac:dyDescent="0.25">
      <c r="A51" s="16" t="s">
        <v>48</v>
      </c>
      <c r="B51" s="16" t="s">
        <v>51</v>
      </c>
      <c r="C51" s="35">
        <v>1</v>
      </c>
      <c r="D51" s="35">
        <v>1</v>
      </c>
      <c r="E51" s="16" t="s">
        <v>419</v>
      </c>
      <c r="F51" s="16" t="s">
        <v>404</v>
      </c>
    </row>
  </sheetData>
  <mergeCells count="1">
    <mergeCell ref="A38:G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C2709ED6611694E87078AC661BB6E32" ma:contentTypeVersion="16" ma:contentTypeDescription="Ein neues Dokument erstellen." ma:contentTypeScope="" ma:versionID="d0b5a02024861691a97feac7c4a3e064">
  <xsd:schema xmlns:xsd="http://www.w3.org/2001/XMLSchema" xmlns:xs="http://www.w3.org/2001/XMLSchema" xmlns:p="http://schemas.microsoft.com/office/2006/metadata/properties" xmlns:ns2="03dad9f7-eeac-4c02-ba14-375916eb47b1" xmlns:ns3="cdaba44c-56e2-426a-84fb-b2cd630ec321" targetNamespace="http://schemas.microsoft.com/office/2006/metadata/properties" ma:root="true" ma:fieldsID="f6e1e197639eb5bb4495c55ea64fb6ec" ns2:_="" ns3:_="">
    <xsd:import namespace="03dad9f7-eeac-4c02-ba14-375916eb47b1"/>
    <xsd:import namespace="cdaba44c-56e2-426a-84fb-b2cd630ec3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ad9f7-eeac-4c02-ba14-375916eb47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aba44c-56e2-426a-84fb-b2cd630ec321"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d62ff32a-af85-4782-8e75-432d823cca3b}" ma:internalName="TaxCatchAll" ma:showField="CatchAllData" ma:web="cdaba44c-56e2-426a-84fb-b2cd630ec3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dad9f7-eeac-4c02-ba14-375916eb47b1">
      <Terms xmlns="http://schemas.microsoft.com/office/infopath/2007/PartnerControls"/>
    </lcf76f155ced4ddcb4097134ff3c332f>
    <TaxCatchAll xmlns="cdaba44c-56e2-426a-84fb-b2cd630ec321" xsi:nil="true"/>
  </documentManagement>
</p:properties>
</file>

<file path=customXml/itemProps1.xml><?xml version="1.0" encoding="utf-8"?>
<ds:datastoreItem xmlns:ds="http://schemas.openxmlformats.org/officeDocument/2006/customXml" ds:itemID="{1E91A1FA-38E4-4B6F-B240-B8A574BFFB97}">
  <ds:schemaRefs>
    <ds:schemaRef ds:uri="http://schemas.microsoft.com/sharepoint/v3/contenttype/forms"/>
  </ds:schemaRefs>
</ds:datastoreItem>
</file>

<file path=customXml/itemProps2.xml><?xml version="1.0" encoding="utf-8"?>
<ds:datastoreItem xmlns:ds="http://schemas.openxmlformats.org/officeDocument/2006/customXml" ds:itemID="{6FFAC23E-4CDD-4791-87D6-1354EDA5E169}"/>
</file>

<file path=customXml/itemProps3.xml><?xml version="1.0" encoding="utf-8"?>
<ds:datastoreItem xmlns:ds="http://schemas.openxmlformats.org/officeDocument/2006/customXml" ds:itemID="{F3998302-B7D5-4AF0-8DAE-E612A559BCD1}">
  <ds:schemaRefs>
    <ds:schemaRef ds:uri="http://schemas.microsoft.com/office/2006/metadata/properties"/>
    <ds:schemaRef ds:uri="http://schemas.microsoft.com/office/infopath/2007/PartnerControls"/>
    <ds:schemaRef ds:uri="03dad9f7-eeac-4c02-ba14-375916eb47b1"/>
    <ds:schemaRef ds:uri="cdaba44c-56e2-426a-84fb-b2cd630ec3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Guide</vt:lpstr>
      <vt:lpstr>C0_Inputs</vt:lpstr>
      <vt:lpstr>C1_Emissions</vt:lpstr>
      <vt:lpstr>Dashboard</vt:lpstr>
      <vt:lpstr>Info &amp; Definitions </vt:lpstr>
      <vt:lpstr>charging_efficiency</vt:lpstr>
      <vt:lpstr>grid_CO2e_per_kWh</vt:lpstr>
      <vt:lpstr>tailpipe_CO2_per_L</vt:lpstr>
      <vt:lpstr>upstream_diesel_CO2e_per_L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 Steyn</dc:creator>
  <cp:lastModifiedBy>Gomez Jattin, Mateo GIZ RW</cp:lastModifiedBy>
  <dcterms:created xsi:type="dcterms:W3CDTF">2025-09-15T13:48:36Z</dcterms:created>
  <dcterms:modified xsi:type="dcterms:W3CDTF">2026-03-29T13:53:44Z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0x0101004C2709ED6611694E87078AC661BB6E32</vt:lpwstr>
  </property>
  <property fmtid="{D5CDD505-2E9C-101B-9397-08002B2CF9AE}" pid="3" name="MediaServiceImageTags">
    <vt:lpwstr/>
  </property>
</Properties>
</file>