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uans\Downloads\"/>
    </mc:Choice>
  </mc:AlternateContent>
  <xr:revisionPtr revIDLastSave="0" documentId="13_ncr:1_{DC58C3ED-6872-4111-B5E3-FC7D124F53B0}" xr6:coauthVersionLast="47" xr6:coauthVersionMax="47" xr10:uidLastSave="{00000000-0000-0000-0000-000000000000}"/>
  <bookViews>
    <workbookView xWindow="-108" yWindow="-108" windowWidth="23256" windowHeight="12456" xr2:uid="{00000000-000D-0000-FFFF-FFFF00000000}"/>
  </bookViews>
  <sheets>
    <sheet name="Guide" sheetId="1" r:id="rId1"/>
    <sheet name="Basic Inputs" sheetId="2" r:id="rId2"/>
    <sheet name="Infrastructure Cost" sheetId="3" r:id="rId3"/>
    <sheet name="TCO ICE" sheetId="4" r:id="rId4"/>
    <sheet name="TCO Electric" sheetId="5" r:id="rId5"/>
    <sheet name="Cost Comparison" sheetId="6" r:id="rId6"/>
    <sheet name="Breakeven point" sheetId="7" r:id="rId7"/>
    <sheet name="Lease_Inputs" sheetId="8" r:id="rId8"/>
    <sheet name="Lease_Outputs" sheetId="9" r:id="rId9"/>
    <sheet name="Info &amp; Definitions" sheetId="10" r:id="rId10"/>
    <sheet name="TCO Electric_BASE"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4" i="11" l="1"/>
  <c r="K64" i="11"/>
  <c r="J64" i="11"/>
  <c r="I64" i="11"/>
  <c r="H64" i="11"/>
  <c r="G64" i="11"/>
  <c r="F64" i="11"/>
  <c r="E64" i="11"/>
  <c r="D64" i="11"/>
  <c r="C64" i="11"/>
  <c r="L59" i="11"/>
  <c r="K59" i="11"/>
  <c r="J59" i="11"/>
  <c r="I59" i="11"/>
  <c r="H59" i="11"/>
  <c r="G59" i="11"/>
  <c r="F59" i="11"/>
  <c r="E59" i="11"/>
  <c r="D59" i="11"/>
  <c r="C59" i="11"/>
  <c r="L52" i="11"/>
  <c r="K52" i="11"/>
  <c r="J52" i="11"/>
  <c r="I52" i="11"/>
  <c r="H52" i="11"/>
  <c r="G52" i="11"/>
  <c r="F52" i="11"/>
  <c r="E52" i="11"/>
  <c r="D52" i="11"/>
  <c r="C52" i="11"/>
  <c r="K48" i="11"/>
  <c r="J48" i="11"/>
  <c r="G48" i="11"/>
  <c r="F48" i="11"/>
  <c r="C48" i="11"/>
  <c r="L47" i="11"/>
  <c r="K47" i="11"/>
  <c r="J47" i="11"/>
  <c r="I47" i="11"/>
  <c r="H47" i="11"/>
  <c r="G47" i="11"/>
  <c r="F47" i="11"/>
  <c r="E47" i="11"/>
  <c r="D47" i="11"/>
  <c r="C47" i="11"/>
  <c r="C46" i="11"/>
  <c r="D46" i="11" s="1"/>
  <c r="E46" i="11" s="1"/>
  <c r="F46" i="11" s="1"/>
  <c r="G46" i="11" s="1"/>
  <c r="H46" i="11" s="1"/>
  <c r="I46" i="11" s="1"/>
  <c r="J46" i="11" s="1"/>
  <c r="K46" i="11" s="1"/>
  <c r="L46" i="11" s="1"/>
  <c r="K33" i="11"/>
  <c r="G33" i="11"/>
  <c r="B30" i="11"/>
  <c r="B66" i="11" s="1"/>
  <c r="B23" i="11"/>
  <c r="B24" i="11" s="1"/>
  <c r="B18" i="11"/>
  <c r="I48" i="11" s="1"/>
  <c r="B16" i="11"/>
  <c r="B11" i="11"/>
  <c r="B9" i="11"/>
  <c r="B4" i="11"/>
  <c r="B2" i="11"/>
  <c r="I33" i="11" s="1"/>
  <c r="C15" i="9"/>
  <c r="B15" i="9"/>
  <c r="G13" i="9"/>
  <c r="G12" i="9"/>
  <c r="G11" i="9"/>
  <c r="G10" i="9"/>
  <c r="C10" i="9"/>
  <c r="B10" i="9"/>
  <c r="G9" i="9"/>
  <c r="C9" i="9"/>
  <c r="B9" i="9"/>
  <c r="G8" i="9"/>
  <c r="G7" i="9"/>
  <c r="G6" i="9"/>
  <c r="C6" i="9"/>
  <c r="B6" i="9"/>
  <c r="G5" i="9"/>
  <c r="G4" i="9"/>
  <c r="L64" i="5"/>
  <c r="K64" i="5"/>
  <c r="J64" i="5"/>
  <c r="I64" i="5"/>
  <c r="H64" i="5"/>
  <c r="G64" i="5"/>
  <c r="F64" i="5"/>
  <c r="E64" i="5"/>
  <c r="D64" i="5"/>
  <c r="C64" i="5"/>
  <c r="L59" i="5"/>
  <c r="K59" i="5"/>
  <c r="J59" i="5"/>
  <c r="I59" i="5"/>
  <c r="H59" i="5"/>
  <c r="G59" i="5"/>
  <c r="F59" i="5"/>
  <c r="E59" i="5"/>
  <c r="D59" i="5"/>
  <c r="C59" i="5"/>
  <c r="L52" i="5"/>
  <c r="K52" i="5"/>
  <c r="J52" i="5"/>
  <c r="I52" i="5"/>
  <c r="H52" i="5"/>
  <c r="G52" i="5"/>
  <c r="F52" i="5"/>
  <c r="E52" i="5"/>
  <c r="D52" i="5"/>
  <c r="C52" i="5"/>
  <c r="L47" i="5"/>
  <c r="K47" i="5"/>
  <c r="J47" i="5"/>
  <c r="I47" i="5"/>
  <c r="H47" i="5"/>
  <c r="G47" i="5"/>
  <c r="F47" i="5"/>
  <c r="E47" i="5"/>
  <c r="D47" i="5"/>
  <c r="C47" i="5"/>
  <c r="B18" i="5"/>
  <c r="B11" i="5"/>
  <c r="B9" i="5"/>
  <c r="B4" i="5"/>
  <c r="B54" i="4"/>
  <c r="L53" i="4"/>
  <c r="K53" i="4"/>
  <c r="J53" i="4"/>
  <c r="I53" i="4"/>
  <c r="H53" i="4"/>
  <c r="G53" i="4"/>
  <c r="F53" i="4"/>
  <c r="E53" i="4"/>
  <c r="D53" i="4"/>
  <c r="C53" i="4"/>
  <c r="L48" i="4"/>
  <c r="K48" i="4"/>
  <c r="J48" i="4"/>
  <c r="I48" i="4"/>
  <c r="H48" i="4"/>
  <c r="G48" i="4"/>
  <c r="F48" i="4"/>
  <c r="E48" i="4"/>
  <c r="D48" i="4"/>
  <c r="C48" i="4"/>
  <c r="C47" i="4"/>
  <c r="D47" i="4" s="1"/>
  <c r="E47" i="4" s="1"/>
  <c r="F47" i="4" s="1"/>
  <c r="G47" i="4" s="1"/>
  <c r="H47" i="4" s="1"/>
  <c r="I47" i="4" s="1"/>
  <c r="J47" i="4" s="1"/>
  <c r="K47" i="4" s="1"/>
  <c r="L47" i="4" s="1"/>
  <c r="L43" i="4"/>
  <c r="K43" i="4"/>
  <c r="J43" i="4"/>
  <c r="I43" i="4"/>
  <c r="H43" i="4"/>
  <c r="G43" i="4"/>
  <c r="F43" i="4"/>
  <c r="E43" i="4"/>
  <c r="D43" i="4"/>
  <c r="C43" i="4"/>
  <c r="I31" i="4"/>
  <c r="E31" i="4"/>
  <c r="B17" i="4"/>
  <c r="B16" i="4"/>
  <c r="K44" i="4" s="1"/>
  <c r="B14" i="4"/>
  <c r="C42" i="4" s="1"/>
  <c r="D42" i="4" s="1"/>
  <c r="E42" i="4" s="1"/>
  <c r="F42" i="4" s="1"/>
  <c r="G42" i="4" s="1"/>
  <c r="H42" i="4" s="1"/>
  <c r="I42" i="4" s="1"/>
  <c r="J42" i="4" s="1"/>
  <c r="K42" i="4" s="1"/>
  <c r="L42" i="4" s="1"/>
  <c r="B9" i="4"/>
  <c r="B8" i="4"/>
  <c r="C50" i="4" s="1"/>
  <c r="B4" i="4"/>
  <c r="B2" i="4"/>
  <c r="L31" i="4" s="1"/>
  <c r="M31" i="4" s="1"/>
  <c r="M10" i="7" s="1"/>
  <c r="B25" i="3"/>
  <c r="C16" i="3"/>
  <c r="C9" i="3"/>
  <c r="C11" i="3" s="1"/>
  <c r="C12" i="3" s="1"/>
  <c r="C4" i="3"/>
  <c r="B4" i="3"/>
  <c r="C53" i="2"/>
  <c r="C55" i="2" s="1"/>
  <c r="B53" i="2"/>
  <c r="B55" i="2" s="1"/>
  <c r="B48" i="2"/>
  <c r="B50" i="2" s="1"/>
  <c r="C44" i="2"/>
  <c r="B44" i="2"/>
  <c r="C42" i="2"/>
  <c r="B42" i="2"/>
  <c r="B45" i="2" s="1"/>
  <c r="B38" i="2"/>
  <c r="B39" i="2" s="1"/>
  <c r="B25" i="2"/>
  <c r="B19" i="2"/>
  <c r="C14" i="2"/>
  <c r="B15" i="11" s="1"/>
  <c r="B14" i="2"/>
  <c r="B13" i="4" s="1"/>
  <c r="C10" i="2"/>
  <c r="B19" i="11" s="1"/>
  <c r="C51" i="11" s="1"/>
  <c r="D51" i="11" s="1"/>
  <c r="E51" i="11" s="1"/>
  <c r="F51" i="11" s="1"/>
  <c r="G51" i="11" s="1"/>
  <c r="H51" i="11" s="1"/>
  <c r="I51" i="11" s="1"/>
  <c r="J51" i="11" s="1"/>
  <c r="K51" i="11" s="1"/>
  <c r="L51" i="11" s="1"/>
  <c r="B4" i="2"/>
  <c r="B3" i="4" s="1"/>
  <c r="B37" i="8"/>
  <c r="C5" i="9" s="1"/>
  <c r="B22" i="8"/>
  <c r="B5" i="9" s="1"/>
  <c r="B7" i="9" s="1"/>
  <c r="G49" i="4" l="1"/>
  <c r="C49" i="4"/>
  <c r="J49" i="4"/>
  <c r="F49" i="4"/>
  <c r="K49" i="4"/>
  <c r="K45" i="4"/>
  <c r="C45" i="4"/>
  <c r="B49" i="4"/>
  <c r="B6" i="11"/>
  <c r="I34" i="11" s="1"/>
  <c r="M34" i="11" s="1"/>
  <c r="B6" i="5"/>
  <c r="I34" i="5" s="1"/>
  <c r="M34" i="5" s="1"/>
  <c r="C21" i="2"/>
  <c r="D22" i="4"/>
  <c r="C52" i="4"/>
  <c r="D21" i="4"/>
  <c r="B38" i="4"/>
  <c r="C34" i="4" s="1"/>
  <c r="C56" i="11"/>
  <c r="C56" i="5"/>
  <c r="C15" i="3"/>
  <c r="C18" i="3" s="1"/>
  <c r="C19" i="3" s="1"/>
  <c r="C5" i="2" s="1"/>
  <c r="I49" i="4"/>
  <c r="B16" i="5"/>
  <c r="C46" i="5" s="1"/>
  <c r="D46" i="5" s="1"/>
  <c r="E46" i="5" s="1"/>
  <c r="F46" i="5" s="1"/>
  <c r="G46" i="5" s="1"/>
  <c r="H46" i="5" s="1"/>
  <c r="I46" i="5" s="1"/>
  <c r="J46" i="5" s="1"/>
  <c r="K46" i="5" s="1"/>
  <c r="L46" i="5" s="1"/>
  <c r="C24" i="2"/>
  <c r="D50" i="4"/>
  <c r="E50" i="4" s="1"/>
  <c r="F50" i="4" s="1"/>
  <c r="G50" i="4" s="1"/>
  <c r="H50" i="4" s="1"/>
  <c r="I50" i="4" s="1"/>
  <c r="J50" i="4" s="1"/>
  <c r="K50" i="4" s="1"/>
  <c r="L50" i="4" s="1"/>
  <c r="M50" i="4"/>
  <c r="C11" i="9"/>
  <c r="C7" i="9"/>
  <c r="H44" i="4"/>
  <c r="B20" i="2"/>
  <c r="B22" i="2" s="1"/>
  <c r="C25" i="2"/>
  <c r="F31" i="4"/>
  <c r="E44" i="4"/>
  <c r="B19" i="5"/>
  <c r="C51" i="5" s="1"/>
  <c r="D51" i="5" s="1"/>
  <c r="E51" i="5" s="1"/>
  <c r="F51" i="5" s="1"/>
  <c r="G51" i="5" s="1"/>
  <c r="H51" i="5" s="1"/>
  <c r="I51" i="5" s="1"/>
  <c r="J51" i="5" s="1"/>
  <c r="K51" i="5" s="1"/>
  <c r="L51" i="5" s="1"/>
  <c r="F53" i="11"/>
  <c r="B24" i="2"/>
  <c r="B26" i="2" s="1"/>
  <c r="B21" i="4"/>
  <c r="B28" i="4"/>
  <c r="C31" i="4"/>
  <c r="G31" i="4"/>
  <c r="K31" i="4"/>
  <c r="F44" i="4"/>
  <c r="F45" i="4" s="1"/>
  <c r="J44" i="4"/>
  <c r="J45" i="4" s="1"/>
  <c r="H45" i="4"/>
  <c r="L45" i="4"/>
  <c r="D49" i="4"/>
  <c r="H49" i="4"/>
  <c r="L49" i="4"/>
  <c r="B15" i="5"/>
  <c r="E53" i="5" s="1"/>
  <c r="D44" i="4"/>
  <c r="D45" i="4" s="1"/>
  <c r="L44" i="4"/>
  <c r="J48" i="5"/>
  <c r="F48" i="5"/>
  <c r="I48" i="5"/>
  <c r="E48" i="5"/>
  <c r="L48" i="5"/>
  <c r="H48" i="5"/>
  <c r="D48" i="5"/>
  <c r="K48" i="5"/>
  <c r="G48" i="5"/>
  <c r="C48" i="5"/>
  <c r="B31" i="4"/>
  <c r="J31" i="4"/>
  <c r="I44" i="4"/>
  <c r="I45" i="4" s="1"/>
  <c r="B8" i="9"/>
  <c r="B16" i="9"/>
  <c r="C54" i="5"/>
  <c r="C45" i="2"/>
  <c r="D31" i="4"/>
  <c r="H31" i="4"/>
  <c r="C44" i="4"/>
  <c r="G44" i="4"/>
  <c r="G45" i="4" s="1"/>
  <c r="E45" i="4"/>
  <c r="E49" i="4"/>
  <c r="K28" i="11"/>
  <c r="G28" i="11"/>
  <c r="C28" i="11"/>
  <c r="J28" i="11"/>
  <c r="F28" i="11"/>
  <c r="L28" i="11"/>
  <c r="H28" i="11"/>
  <c r="D28" i="11"/>
  <c r="E28" i="11"/>
  <c r="B31" i="11"/>
  <c r="C27" i="11"/>
  <c r="I28" i="11"/>
  <c r="B11" i="9"/>
  <c r="B13" i="9" s="1"/>
  <c r="L53" i="11"/>
  <c r="H53" i="11"/>
  <c r="D53" i="11"/>
  <c r="K49" i="11"/>
  <c r="G49" i="11"/>
  <c r="C49" i="11"/>
  <c r="K53" i="11"/>
  <c r="G53" i="11"/>
  <c r="C53" i="11"/>
  <c r="J49" i="11"/>
  <c r="F49" i="11"/>
  <c r="I53" i="11"/>
  <c r="E53" i="11"/>
  <c r="H49" i="11"/>
  <c r="D49" i="11"/>
  <c r="J33" i="11"/>
  <c r="F33" i="11"/>
  <c r="B33" i="11"/>
  <c r="J53" i="11"/>
  <c r="C33" i="11"/>
  <c r="I49" i="11"/>
  <c r="C54" i="11"/>
  <c r="D33" i="11"/>
  <c r="H33" i="11"/>
  <c r="L33" i="11"/>
  <c r="M33" i="11" s="1"/>
  <c r="M28" i="11" s="1"/>
  <c r="D48" i="11"/>
  <c r="H48" i="11"/>
  <c r="L48" i="11"/>
  <c r="L49" i="11" s="1"/>
  <c r="E33" i="11"/>
  <c r="E48" i="11"/>
  <c r="E49" i="11" s="1"/>
  <c r="C3" i="6" l="1"/>
  <c r="M35" i="11"/>
  <c r="G53" i="5"/>
  <c r="D49" i="5"/>
  <c r="B2" i="5"/>
  <c r="C19" i="2"/>
  <c r="F49" i="5"/>
  <c r="K53" i="5"/>
  <c r="H49" i="5"/>
  <c r="K35" i="4"/>
  <c r="G35" i="4"/>
  <c r="C35" i="4"/>
  <c r="L35" i="4"/>
  <c r="H35" i="4"/>
  <c r="J35" i="4"/>
  <c r="F35" i="4"/>
  <c r="I35" i="4"/>
  <c r="E35" i="4"/>
  <c r="D35" i="4"/>
  <c r="M49" i="11"/>
  <c r="C5" i="6" s="1"/>
  <c r="C31" i="11"/>
  <c r="D27" i="11" s="1"/>
  <c r="C29" i="11"/>
  <c r="C30" i="11"/>
  <c r="M54" i="5"/>
  <c r="D54" i="5"/>
  <c r="E54" i="5" s="1"/>
  <c r="F54" i="5" s="1"/>
  <c r="G54" i="5" s="1"/>
  <c r="H54" i="5" s="1"/>
  <c r="I54" i="5" s="1"/>
  <c r="J54" i="5" s="1"/>
  <c r="K54" i="5" s="1"/>
  <c r="L54" i="5" s="1"/>
  <c r="I49" i="5"/>
  <c r="J49" i="5"/>
  <c r="C49" i="5"/>
  <c r="H53" i="5"/>
  <c r="L49" i="5"/>
  <c r="C63" i="11"/>
  <c r="C63" i="5"/>
  <c r="C36" i="4"/>
  <c r="J53" i="5"/>
  <c r="K49" i="5"/>
  <c r="I53" i="5"/>
  <c r="B57" i="4"/>
  <c r="B4" i="7" s="1"/>
  <c r="D56" i="5"/>
  <c r="E56" i="5" s="1"/>
  <c r="F56" i="5" s="1"/>
  <c r="G56" i="5" s="1"/>
  <c r="H56" i="5" s="1"/>
  <c r="I56" i="5" s="1"/>
  <c r="J56" i="5" s="1"/>
  <c r="K56" i="5" s="1"/>
  <c r="L56" i="5" s="1"/>
  <c r="D52" i="4"/>
  <c r="C54" i="4"/>
  <c r="M45" i="4"/>
  <c r="B5" i="6" s="1"/>
  <c r="E49" i="5"/>
  <c r="D53" i="5"/>
  <c r="B22" i="4"/>
  <c r="B29" i="4"/>
  <c r="C25" i="4"/>
  <c r="D56" i="11"/>
  <c r="E56" i="11" s="1"/>
  <c r="F56" i="11" s="1"/>
  <c r="G56" i="11" s="1"/>
  <c r="H56" i="11" s="1"/>
  <c r="I56" i="11" s="1"/>
  <c r="J56" i="11" s="1"/>
  <c r="K56" i="11" s="1"/>
  <c r="L56" i="11" s="1"/>
  <c r="D54" i="11"/>
  <c r="E54" i="11" s="1"/>
  <c r="F54" i="11" s="1"/>
  <c r="G54" i="11" s="1"/>
  <c r="H54" i="11" s="1"/>
  <c r="I54" i="11" s="1"/>
  <c r="J54" i="11" s="1"/>
  <c r="K54" i="11" s="1"/>
  <c r="L54" i="11" s="1"/>
  <c r="M53" i="11"/>
  <c r="F53" i="5"/>
  <c r="C53" i="5"/>
  <c r="G49" i="5"/>
  <c r="L53" i="5"/>
  <c r="C16" i="9"/>
  <c r="C8" i="9"/>
  <c r="B12" i="9" s="1"/>
  <c r="C26" i="2"/>
  <c r="C23" i="3"/>
  <c r="M49" i="4"/>
  <c r="J33" i="5" l="1"/>
  <c r="F33" i="5"/>
  <c r="B33" i="5"/>
  <c r="I33" i="5"/>
  <c r="E33" i="5"/>
  <c r="L33" i="5"/>
  <c r="M33" i="5" s="1"/>
  <c r="M11" i="7" s="1"/>
  <c r="H33" i="5"/>
  <c r="D33" i="5"/>
  <c r="K33" i="5"/>
  <c r="G33" i="5"/>
  <c r="C33" i="5"/>
  <c r="B23" i="5"/>
  <c r="B30" i="5"/>
  <c r="C25" i="3"/>
  <c r="C4" i="2" s="1"/>
  <c r="C24" i="3"/>
  <c r="M56" i="11"/>
  <c r="D54" i="4"/>
  <c r="E52" i="4"/>
  <c r="M35" i="4"/>
  <c r="B4" i="6" s="1"/>
  <c r="C37" i="4"/>
  <c r="C27" i="4"/>
  <c r="D63" i="5"/>
  <c r="E63" i="5" s="1"/>
  <c r="F63" i="5" s="1"/>
  <c r="G63" i="5" s="1"/>
  <c r="H63" i="5" s="1"/>
  <c r="I63" i="5" s="1"/>
  <c r="J63" i="5" s="1"/>
  <c r="K63" i="5" s="1"/>
  <c r="L63" i="5" s="1"/>
  <c r="M63" i="5"/>
  <c r="D7" i="6" s="1"/>
  <c r="M49" i="5"/>
  <c r="D5" i="6" s="1"/>
  <c r="J26" i="4"/>
  <c r="F26" i="4"/>
  <c r="L26" i="4"/>
  <c r="D26" i="4"/>
  <c r="G26" i="4"/>
  <c r="I26" i="4"/>
  <c r="E26" i="4"/>
  <c r="H26" i="4"/>
  <c r="K26" i="4"/>
  <c r="C26" i="4"/>
  <c r="B10" i="7"/>
  <c r="D29" i="11"/>
  <c r="D30" i="11" s="1"/>
  <c r="M53" i="5"/>
  <c r="M54" i="11"/>
  <c r="M56" i="5"/>
  <c r="D63" i="11"/>
  <c r="E63" i="11" s="1"/>
  <c r="F63" i="11" s="1"/>
  <c r="G63" i="11" s="1"/>
  <c r="H63" i="11" s="1"/>
  <c r="I63" i="11" s="1"/>
  <c r="J63" i="11" s="1"/>
  <c r="K63" i="11" s="1"/>
  <c r="L63" i="11" s="1"/>
  <c r="D31" i="11" l="1"/>
  <c r="E27" i="11" s="1"/>
  <c r="C28" i="4"/>
  <c r="C57" i="4"/>
  <c r="C4" i="7" s="1"/>
  <c r="M26" i="4"/>
  <c r="E54" i="4"/>
  <c r="F52" i="4"/>
  <c r="C38" i="4"/>
  <c r="D34" i="4" s="1"/>
  <c r="B3" i="11"/>
  <c r="C48" i="2"/>
  <c r="E57" i="4"/>
  <c r="E4" i="7" s="1"/>
  <c r="B24" i="5"/>
  <c r="B31" i="5"/>
  <c r="C27" i="5"/>
  <c r="M63" i="11"/>
  <c r="C7" i="6" s="1"/>
  <c r="D57" i="4"/>
  <c r="D4" i="7" s="1"/>
  <c r="B66" i="5"/>
  <c r="B5" i="7" s="1"/>
  <c r="C29" i="4" l="1"/>
  <c r="D25" i="4" s="1"/>
  <c r="C29" i="5"/>
  <c r="E29" i="11"/>
  <c r="B11" i="7"/>
  <c r="C58" i="5"/>
  <c r="C50" i="2"/>
  <c r="B3" i="6"/>
  <c r="D36" i="4"/>
  <c r="F54" i="4"/>
  <c r="F57" i="4" s="1"/>
  <c r="F4" i="7" s="1"/>
  <c r="G52" i="4"/>
  <c r="L28" i="5"/>
  <c r="H28" i="5"/>
  <c r="D28" i="5"/>
  <c r="K28" i="5"/>
  <c r="G28" i="5"/>
  <c r="C28" i="5"/>
  <c r="J28" i="5"/>
  <c r="F28" i="5"/>
  <c r="E28" i="5"/>
  <c r="I28" i="5"/>
  <c r="C58" i="11"/>
  <c r="B42" i="11"/>
  <c r="C38" i="11" s="1"/>
  <c r="D23" i="11"/>
  <c r="D24" i="11" s="1"/>
  <c r="C10" i="7"/>
  <c r="D10" i="7" s="1"/>
  <c r="E10" i="7" s="1"/>
  <c r="F10" i="7" s="1"/>
  <c r="C30" i="5" l="1"/>
  <c r="M28" i="5"/>
  <c r="D37" i="4"/>
  <c r="D58" i="5"/>
  <c r="C60" i="5"/>
  <c r="E30" i="11"/>
  <c r="D27" i="4"/>
  <c r="I39" i="11"/>
  <c r="E39" i="11"/>
  <c r="L39" i="11"/>
  <c r="H39" i="11"/>
  <c r="D39" i="11"/>
  <c r="J39" i="11"/>
  <c r="F39" i="11"/>
  <c r="K39" i="11"/>
  <c r="G39" i="11"/>
  <c r="C39" i="11"/>
  <c r="C40" i="11"/>
  <c r="G54" i="4"/>
  <c r="G57" i="4" s="1"/>
  <c r="G4" i="7" s="1"/>
  <c r="H52" i="4"/>
  <c r="B3" i="5"/>
  <c r="C20" i="2"/>
  <c r="C22" i="2" s="1"/>
  <c r="G10" i="7"/>
  <c r="C60" i="11"/>
  <c r="D58" i="11"/>
  <c r="D60" i="11" l="1"/>
  <c r="E58" i="11"/>
  <c r="D38" i="4"/>
  <c r="E34" i="4" s="1"/>
  <c r="I52" i="4"/>
  <c r="H54" i="4"/>
  <c r="H57" i="4" s="1"/>
  <c r="H4" i="7" s="1"/>
  <c r="D28" i="4"/>
  <c r="D3" i="6"/>
  <c r="M35" i="5"/>
  <c r="B42" i="5"/>
  <c r="C38" i="5" s="1"/>
  <c r="D23" i="5"/>
  <c r="D24" i="5" s="1"/>
  <c r="D66" i="11"/>
  <c r="E31" i="11"/>
  <c r="F27" i="11" s="1"/>
  <c r="H10" i="7"/>
  <c r="D60" i="5"/>
  <c r="E58" i="5"/>
  <c r="C41" i="11"/>
  <c r="M39" i="11"/>
  <c r="C66" i="11"/>
  <c r="C31" i="5"/>
  <c r="D27" i="5" s="1"/>
  <c r="D29" i="4" l="1"/>
  <c r="E25" i="4" s="1"/>
  <c r="F58" i="5"/>
  <c r="E60" i="5"/>
  <c r="J39" i="5"/>
  <c r="F39" i="5"/>
  <c r="I39" i="5"/>
  <c r="E39" i="5"/>
  <c r="L39" i="5"/>
  <c r="H39" i="5"/>
  <c r="D39" i="5"/>
  <c r="K39" i="5"/>
  <c r="G39" i="5"/>
  <c r="C39" i="5"/>
  <c r="E36" i="4"/>
  <c r="F29" i="11"/>
  <c r="C4" i="6"/>
  <c r="C40" i="5"/>
  <c r="I54" i="4"/>
  <c r="I57" i="4" s="1"/>
  <c r="I4" i="7" s="1"/>
  <c r="J52" i="4"/>
  <c r="F58" i="11"/>
  <c r="E60" i="11"/>
  <c r="I10" i="7"/>
  <c r="D29" i="5"/>
  <c r="C42" i="11"/>
  <c r="D38" i="11" s="1"/>
  <c r="C41" i="5" l="1"/>
  <c r="M39" i="5"/>
  <c r="C66" i="5"/>
  <c r="C5" i="7" s="1"/>
  <c r="E27" i="4"/>
  <c r="E66" i="11"/>
  <c r="D66" i="5"/>
  <c r="D5" i="7" s="1"/>
  <c r="D30" i="5"/>
  <c r="F30" i="11"/>
  <c r="F31" i="11" s="1"/>
  <c r="G27" i="11" s="1"/>
  <c r="J54" i="4"/>
  <c r="J57" i="4" s="1"/>
  <c r="J4" i="7" s="1"/>
  <c r="K52" i="4"/>
  <c r="E37" i="4"/>
  <c r="G58" i="5"/>
  <c r="F60" i="5"/>
  <c r="F66" i="5" s="1"/>
  <c r="F5" i="7" s="1"/>
  <c r="G58" i="11"/>
  <c r="F60" i="11"/>
  <c r="F66" i="11" s="1"/>
  <c r="D40" i="11"/>
  <c r="J10" i="7"/>
  <c r="E66" i="5"/>
  <c r="E5" i="7" s="1"/>
  <c r="G29" i="11" l="1"/>
  <c r="G30" i="11" s="1"/>
  <c r="G31" i="11" s="1"/>
  <c r="H27" i="11" s="1"/>
  <c r="H58" i="5"/>
  <c r="G60" i="5"/>
  <c r="G66" i="5" s="1"/>
  <c r="G5" i="7" s="1"/>
  <c r="D4" i="6"/>
  <c r="D31" i="5"/>
  <c r="E27" i="5" s="1"/>
  <c r="E28" i="4"/>
  <c r="G60" i="11"/>
  <c r="H58" i="11"/>
  <c r="E38" i="4"/>
  <c r="F34" i="4" s="1"/>
  <c r="K54" i="4"/>
  <c r="K57" i="4" s="1"/>
  <c r="K4" i="7" s="1"/>
  <c r="L52" i="4"/>
  <c r="L54" i="4" s="1"/>
  <c r="C42" i="5"/>
  <c r="D38" i="5" s="1"/>
  <c r="K10" i="7"/>
  <c r="D41" i="11"/>
  <c r="C11" i="7"/>
  <c r="D11" i="7" s="1"/>
  <c r="E11" i="7" s="1"/>
  <c r="F11" i="7" s="1"/>
  <c r="H29" i="11" l="1"/>
  <c r="H30" i="11" s="1"/>
  <c r="H31" i="11" s="1"/>
  <c r="I27" i="11" s="1"/>
  <c r="L57" i="4"/>
  <c r="L4" i="7" s="1"/>
  <c r="N4" i="7" s="1"/>
  <c r="M54" i="4"/>
  <c r="M55" i="4" s="1"/>
  <c r="E29" i="5"/>
  <c r="G66" i="11"/>
  <c r="H60" i="5"/>
  <c r="H66" i="5" s="1"/>
  <c r="H5" i="7" s="1"/>
  <c r="I58" i="5"/>
  <c r="G11" i="7"/>
  <c r="H11" i="7" s="1"/>
  <c r="D40" i="5"/>
  <c r="F36" i="4"/>
  <c r="D42" i="11"/>
  <c r="E38" i="11" s="1"/>
  <c r="H60" i="11"/>
  <c r="H66" i="11" s="1"/>
  <c r="I58" i="11"/>
  <c r="E29" i="4"/>
  <c r="F25" i="4" s="1"/>
  <c r="I29" i="11" l="1"/>
  <c r="I30" i="11" s="1"/>
  <c r="I31" i="11" s="1"/>
  <c r="J27" i="11" s="1"/>
  <c r="J58" i="11"/>
  <c r="I60" i="11"/>
  <c r="I66" i="11" s="1"/>
  <c r="J58" i="5"/>
  <c r="I60" i="5"/>
  <c r="I66" i="5" s="1"/>
  <c r="I5" i="7" s="1"/>
  <c r="I11" i="7" s="1"/>
  <c r="E30" i="5"/>
  <c r="F27" i="4"/>
  <c r="D41" i="5"/>
  <c r="F37" i="4"/>
  <c r="E40" i="11"/>
  <c r="L10" i="7"/>
  <c r="N10" i="7" s="1"/>
  <c r="B6" i="6"/>
  <c r="B8" i="6" s="1"/>
  <c r="M57" i="4"/>
  <c r="M4" i="7" s="1"/>
  <c r="J29" i="11" l="1"/>
  <c r="J30" i="11" s="1"/>
  <c r="J31" i="11" s="1"/>
  <c r="K27" i="11" s="1"/>
  <c r="K58" i="5"/>
  <c r="J60" i="5"/>
  <c r="J66" i="5" s="1"/>
  <c r="J5" i="7" s="1"/>
  <c r="J11" i="7" s="1"/>
  <c r="D42" i="5"/>
  <c r="E38" i="5" s="1"/>
  <c r="F28" i="4"/>
  <c r="K58" i="11"/>
  <c r="J60" i="11"/>
  <c r="J66" i="11" s="1"/>
  <c r="F38" i="4"/>
  <c r="G34" i="4" s="1"/>
  <c r="E41" i="11"/>
  <c r="E31" i="5"/>
  <c r="F27" i="5" s="1"/>
  <c r="K29" i="11" l="1"/>
  <c r="K30" i="11" s="1"/>
  <c r="K31" i="11" s="1"/>
  <c r="L27" i="11" s="1"/>
  <c r="L58" i="5"/>
  <c r="L60" i="5" s="1"/>
  <c r="K60" i="5"/>
  <c r="K66" i="5" s="1"/>
  <c r="K5" i="7" s="1"/>
  <c r="K11" i="7" s="1"/>
  <c r="E40" i="5"/>
  <c r="E42" i="11"/>
  <c r="F38" i="11" s="1"/>
  <c r="K60" i="11"/>
  <c r="K66" i="11" s="1"/>
  <c r="L58" i="11"/>
  <c r="L60" i="11" s="1"/>
  <c r="F29" i="4"/>
  <c r="G25" i="4" s="1"/>
  <c r="F29" i="5"/>
  <c r="G36" i="4"/>
  <c r="G37" i="4" s="1"/>
  <c r="L29" i="11" l="1"/>
  <c r="M60" i="5"/>
  <c r="M61" i="5" s="1"/>
  <c r="L66" i="5"/>
  <c r="L5" i="7" s="1"/>
  <c r="N5" i="7" s="1"/>
  <c r="F30" i="5"/>
  <c r="L66" i="11"/>
  <c r="M60" i="11"/>
  <c r="M61" i="11" s="1"/>
  <c r="E41" i="5"/>
  <c r="G38" i="4"/>
  <c r="H34" i="4" s="1"/>
  <c r="G27" i="4"/>
  <c r="G28" i="4" s="1"/>
  <c r="G29" i="4" s="1"/>
  <c r="H25" i="4" s="1"/>
  <c r="F40" i="11"/>
  <c r="H27" i="4" l="1"/>
  <c r="H28" i="4" s="1"/>
  <c r="H29" i="4" s="1"/>
  <c r="I25" i="4" s="1"/>
  <c r="D6" i="6"/>
  <c r="D8" i="6" s="1"/>
  <c r="D9" i="6" s="1"/>
  <c r="M66" i="5"/>
  <c r="M5" i="7" s="1"/>
  <c r="L30" i="11"/>
  <c r="M29" i="11"/>
  <c r="E42" i="5"/>
  <c r="F38" i="5" s="1"/>
  <c r="F31" i="5"/>
  <c r="G27" i="5" s="1"/>
  <c r="F41" i="11"/>
  <c r="H36" i="4"/>
  <c r="H37" i="4" s="1"/>
  <c r="H38" i="4"/>
  <c r="I34" i="4" s="1"/>
  <c r="C6" i="6"/>
  <c r="C8" i="6" s="1"/>
  <c r="B9" i="6" s="1"/>
  <c r="M66" i="11"/>
  <c r="L11" i="7"/>
  <c r="N11" i="7" s="1"/>
  <c r="I27" i="4" l="1"/>
  <c r="I28" i="4" s="1"/>
  <c r="I29" i="4"/>
  <c r="J25" i="4" s="1"/>
  <c r="F42" i="11"/>
  <c r="G38" i="11" s="1"/>
  <c r="G29" i="5"/>
  <c r="G30" i="5" s="1"/>
  <c r="F40" i="5"/>
  <c r="I36" i="4"/>
  <c r="I37" i="4" s="1"/>
  <c r="I38" i="4" s="1"/>
  <c r="J34" i="4" s="1"/>
  <c r="M30" i="11"/>
  <c r="L31" i="11"/>
  <c r="J36" i="4" l="1"/>
  <c r="J37" i="4" s="1"/>
  <c r="J38" i="4"/>
  <c r="K34" i="4" s="1"/>
  <c r="G40" i="11"/>
  <c r="G41" i="11" s="1"/>
  <c r="F41" i="5"/>
  <c r="J27" i="4"/>
  <c r="J28" i="4" s="1"/>
  <c r="J29" i="4" s="1"/>
  <c r="K25" i="4" s="1"/>
  <c r="G31" i="5"/>
  <c r="H27" i="5" s="1"/>
  <c r="K27" i="4" l="1"/>
  <c r="K28" i="4" s="1"/>
  <c r="K29" i="4" s="1"/>
  <c r="L25" i="4" s="1"/>
  <c r="G42" i="11"/>
  <c r="H38" i="11" s="1"/>
  <c r="K36" i="4"/>
  <c r="K37" i="4" s="1"/>
  <c r="K38" i="4" s="1"/>
  <c r="L34" i="4" s="1"/>
  <c r="H29" i="5"/>
  <c r="H30" i="5" s="1"/>
  <c r="H31" i="5" s="1"/>
  <c r="I27" i="5" s="1"/>
  <c r="F42" i="5"/>
  <c r="G38" i="5" s="1"/>
  <c r="L36" i="4" l="1"/>
  <c r="I29" i="5"/>
  <c r="I30" i="5" s="1"/>
  <c r="I31" i="5" s="1"/>
  <c r="J27" i="5" s="1"/>
  <c r="L27" i="4"/>
  <c r="G40" i="5"/>
  <c r="G41" i="5" s="1"/>
  <c r="H40" i="11"/>
  <c r="H41" i="11" s="1"/>
  <c r="H42" i="11" s="1"/>
  <c r="I38" i="11" s="1"/>
  <c r="J29" i="5" l="1"/>
  <c r="J30" i="5" s="1"/>
  <c r="J31" i="5"/>
  <c r="K27" i="5" s="1"/>
  <c r="I40" i="11"/>
  <c r="I41" i="11" s="1"/>
  <c r="I42" i="11"/>
  <c r="J38" i="11" s="1"/>
  <c r="G42" i="5"/>
  <c r="H38" i="5" s="1"/>
  <c r="L28" i="4"/>
  <c r="M27" i="4"/>
  <c r="L37" i="4"/>
  <c r="M36" i="4"/>
  <c r="M28" i="4" l="1"/>
  <c r="L29" i="4"/>
  <c r="H40" i="5"/>
  <c r="H41" i="5" s="1"/>
  <c r="H42" i="5" s="1"/>
  <c r="I38" i="5" s="1"/>
  <c r="K29" i="5"/>
  <c r="K30" i="5" s="1"/>
  <c r="K31" i="5" s="1"/>
  <c r="L27" i="5" s="1"/>
  <c r="J40" i="11"/>
  <c r="J41" i="11" s="1"/>
  <c r="J42" i="11"/>
  <c r="K38" i="11" s="1"/>
  <c r="M37" i="4"/>
  <c r="L38" i="4"/>
  <c r="L29" i="5" l="1"/>
  <c r="I40" i="5"/>
  <c r="I41" i="5" s="1"/>
  <c r="I42" i="5"/>
  <c r="J38" i="5" s="1"/>
  <c r="K40" i="11"/>
  <c r="K41" i="11" s="1"/>
  <c r="K42" i="11" s="1"/>
  <c r="L38" i="11" s="1"/>
  <c r="L40" i="11" l="1"/>
  <c r="L30" i="5"/>
  <c r="M29" i="5"/>
  <c r="J40" i="5"/>
  <c r="J41" i="5" s="1"/>
  <c r="J42" i="5"/>
  <c r="K38" i="5" s="1"/>
  <c r="M30" i="5" l="1"/>
  <c r="L31" i="5"/>
  <c r="K40" i="5"/>
  <c r="K41" i="5" s="1"/>
  <c r="K42" i="5" s="1"/>
  <c r="L38" i="5" s="1"/>
  <c r="L41" i="11"/>
  <c r="M40" i="11"/>
  <c r="L40" i="5" l="1"/>
  <c r="M41" i="11"/>
  <c r="L42" i="11"/>
  <c r="L41" i="5" l="1"/>
  <c r="M40" i="5"/>
  <c r="M41" i="5" l="1"/>
  <c r="L42" i="5"/>
</calcChain>
</file>

<file path=xl/sharedStrings.xml><?xml version="1.0" encoding="utf-8"?>
<sst xmlns="http://schemas.openxmlformats.org/spreadsheetml/2006/main" count="859" uniqueCount="529">
  <si>
    <t>Lease TCO Inputs (Minimal: EV vs ICE)</t>
  </si>
  <si>
    <t>Common inputs</t>
  </si>
  <si>
    <t>Term_months</t>
  </si>
  <si>
    <t>How long the lease runs, in months.</t>
  </si>
  <si>
    <t>e.g., 60</t>
  </si>
  <si>
    <t>Monthly_km</t>
  </si>
  <si>
    <t>Average kilometres per vehicle per month.</t>
  </si>
  <si>
    <t>e.g., 3000</t>
  </si>
  <si>
    <t>Discount_rate_pa</t>
  </si>
  <si>
    <t>Your annual time value of money (optional).</t>
  </si>
  <si>
    <t>e.g., 12%</t>
  </si>
  <si>
    <t>Number_of_vehicles</t>
  </si>
  <si>
    <t>How many vehicles in your fleet (same specs).</t>
  </si>
  <si>
    <t>e.g., 15</t>
  </si>
  <si>
    <t>EV inputs</t>
  </si>
  <si>
    <t>Monthly_lease_excl_VAT_EV</t>
  </si>
  <si>
    <t>Monthly EV lease payment before VAT.</t>
  </si>
  <si>
    <t>e.g., R 22 000</t>
  </si>
  <si>
    <t>Lease escelation</t>
  </si>
  <si>
    <t>Yearly increase in lease</t>
  </si>
  <si>
    <t>e.g 5%</t>
  </si>
  <si>
    <t>Maintenance_included_EV</t>
  </si>
  <si>
    <t>TRUE if the lease includes all maintenance.</t>
  </si>
  <si>
    <t>TRUE or FALSE</t>
  </si>
  <si>
    <t>Maintenance_per_km_EV</t>
  </si>
  <si>
    <t>If not included, your expected EV maintenance per km.</t>
  </si>
  <si>
    <t>e.g., R 0.20</t>
  </si>
  <si>
    <t>Maintenance_Escelation</t>
  </si>
  <si>
    <t>Yearly increase in Maintenance</t>
  </si>
  <si>
    <t>Insurance_per_month_EV</t>
  </si>
  <si>
    <t>Monthly insurance premium for the EV.</t>
  </si>
  <si>
    <t>e.g., R 1 200</t>
  </si>
  <si>
    <t>Insurance Escelation</t>
  </si>
  <si>
    <t>Licence_per_month_EV</t>
  </si>
  <si>
    <t>Monthly amount for licence/registration.</t>
  </si>
  <si>
    <t>e.g., R 200</t>
  </si>
  <si>
    <t>Licence Escelation</t>
  </si>
  <si>
    <t>km_per_kWh_EV</t>
  </si>
  <si>
    <t>EV efficiency: how many km per kWh.</t>
  </si>
  <si>
    <t>e.g., 5.0</t>
  </si>
  <si>
    <t>Electricity_price_per_kWh</t>
  </si>
  <si>
    <t>Tariff per kWh.</t>
  </si>
  <si>
    <t>e.g., R 2.80</t>
  </si>
  <si>
    <t>Electricity_price_escelation</t>
  </si>
  <si>
    <t>Energy_cost_per_km_EV</t>
  </si>
  <si>
    <t>Calculated: electricity price ÷ km/kWh.</t>
  </si>
  <si>
    <t>(auto)</t>
  </si>
  <si>
    <t>ICE inputs</t>
  </si>
  <si>
    <t>Monthly_lease_excl_VAT_ICE</t>
  </si>
  <si>
    <t>Monthly ICE lease payment before VAT.</t>
  </si>
  <si>
    <t>e.g., R 18 500</t>
  </si>
  <si>
    <t>Maintenance_included_ICE</t>
  </si>
  <si>
    <t>Maintenance_per_km_ICE</t>
  </si>
  <si>
    <t>If not included, your expected ICE maintenance per km.</t>
  </si>
  <si>
    <t>e.g., R 0.40</t>
  </si>
  <si>
    <t>Insurance_per_month_ICE</t>
  </si>
  <si>
    <t>Monthly insurance premium for the ICE.</t>
  </si>
  <si>
    <t>Licence_per_month_ICE</t>
  </si>
  <si>
    <t>L_per_100km_ICE</t>
  </si>
  <si>
    <t>Fuel use in litres per 100 km.</t>
  </si>
  <si>
    <t>e.g., 8.0</t>
  </si>
  <si>
    <t>Fuel_price_per_litre</t>
  </si>
  <si>
    <t>Price per litre of fuel.</t>
  </si>
  <si>
    <t>e.g., R 26.00</t>
  </si>
  <si>
    <t>Fuel Price Escelation</t>
  </si>
  <si>
    <t>Energy_cost_per_km_ICE</t>
  </si>
  <si>
    <t>Calculated: (L/100km × price/litre) ÷ 100.</t>
  </si>
  <si>
    <t>Module B – Financial Viability (Total Cost of Ownership)</t>
  </si>
  <si>
    <t>Overview</t>
  </si>
  <si>
    <t>Module B is a Total Cost of Ownership (TCO) tool for East African minibus fleets. It compares the full life-cycle cost of an electric minibus (e‑MBT) with a diesel baseline serving the same route or duty cycle. The model brings together capital expenditure (CAPEX) and operating expenditure (OPEX) – vehicle purchase or lease, battery arrangements, energy, maintenance, labour, and financing terms – over a chosen analysis period. The goal is to show whether the electric option is financially viable, under what assumptions, and for which actors (operator, lender, city, or utility).</t>
  </si>
  <si>
    <t>How to use this tool</t>
  </si>
  <si>
    <t>1. Confirm that the route, duty cycle and charging concept have been screened in Module A.
 2. On the input tabs (e.g. ‘Basic Inputs’, ‘TCO ICE’, ‘TCO Electric’, ‘Lease_Inputs’), complete only the light‑blue cells with your fleet, route, finance and tariff assumptions.
 3. Keep one core scenario per file. If you want to test another route or financing structure, save a copy and adjust the inputs there.
 4. Review the key outputs on the comparison and breakeven tabs. Focus on:
  • cost per kilometre and per seat‑kilometre for diesel vs electric;
  • annual and cumulative cash flow;
  • payback period / breakeven year and the total cost gap over the analysis horizon.
 5. Run simple sensitivities: adjust utilisation (km/day), electricity and fuel prices, interest rates, down‑payment share or residual values to see how robust the EV case is.
 6. Document the preferred scenario and its assumptions in Module G (Risk &amp; Readiness), including any conditions or concessions needed to make the EV option bankable.
 7. If any concept or output is unclear, open the ‘Info &amp; Definitions’ tab for explanations of terms, units and how the main calculations work.</t>
  </si>
  <si>
    <t>Cell colours &amp; navigation</t>
  </si>
  <si>
    <t>To keep the model robust and easy to use:
 • Light‑blue cells: user inputs. Only type or select values in these cells (including dropdowns).
 • White or grey and Yellow cells: formulas, look‑ups or summary outputs. Do not overwrite them, even if a number looks ‘wrong’ – instead, adjust the relevant light‑blue inputs.
 • Sheet navigation: follow the tabs in the order suggested by the guidance provided with the Toolkit. You do not need to edit any ‘Lookups’ or hidden sheets unless you are maintaining the model.</t>
  </si>
  <si>
    <t>Methodology &amp; evidence base</t>
  </si>
  <si>
    <t>The default assumptions in this module are grounded in the East African situational analysis and TCO evidence base. They draw on:
 • observed energy and maintenance costs from early e‑minibus pilots and deployments;
 • country‑specific energy prices, fuel prices, taxes and utilisation norms;
 • prevailing financing terms for loans, leases, SACCO structures and battery‑as‑a‑service models.
 The model is structured to provide a transparent, auditable TCO comparison rather than a bank‑grade project‑finance model. Users should therefore treat it as a decision‑support and screening tool that can be complemented by more detailed financial modelling where required.</t>
  </si>
  <si>
    <t>Important notes &amp; limitations</t>
  </si>
  <si>
    <t>• Results are only as reliable as the input data. Check all major assumptions – purchase prices, tariffs, interest rates, mileage, maintenance costs – against current quotations or contracts.
 • The tool focuses on 12–30 seat minibuses and typical SACCO or small‑fleet structures. Other vehicle types or business models may require adaptation.
 • Some cost items (for example taxes, depreciation rules, foreign‑exchange exposure, extraordinary maintenance) are simplified to keep the tool practical.
 • Outputs should not be interpreted as legal, tax or investment advice. Always combine this analysis with professional financial advice and your own risk assessment.
 • A ‘Conditional Go’ outcome in TCO terms does not override safety, operational or policy constraints identified in Modules A, C, E, F or G.</t>
  </si>
  <si>
    <t>Data</t>
  </si>
  <si>
    <t>Diesel</t>
  </si>
  <si>
    <t>Electric</t>
  </si>
  <si>
    <t>Notes</t>
  </si>
  <si>
    <t>Minibus Price (Local Currency)</t>
  </si>
  <si>
    <t>Upfront purchase price per Minibuse. Enter the amount you pay for one new Minibuse (exclude VAT if your model does).</t>
  </si>
  <si>
    <t>Infrastructure Costs (Local Currency)</t>
  </si>
  <si>
    <t>Total cost of depot/charging/fueling infrastructure (chargers, transformers, civil works, fuel tanks). One-time CAPEX for the whole fleet.Derived from Infrastructure Cost tab</t>
  </si>
  <si>
    <t>Lease for year 1</t>
  </si>
  <si>
    <t>n/a</t>
  </si>
  <si>
    <t>If charging depot needs to be leased. Will be blank if not filled in Infrastructure Tab (Cell C17)</t>
  </si>
  <si>
    <t>Minibuse Length</t>
  </si>
  <si>
    <t>N/a</t>
  </si>
  <si>
    <t>Physical length of the Minibuse in metres. Used only for context/categorisation; does not change costs.</t>
  </si>
  <si>
    <t>Insurance Costs  (Minibus)</t>
  </si>
  <si>
    <t>Insurance cost (Chargers)</t>
  </si>
  <si>
    <t>Annual insurance rate for charging infrastructure as a % of the infrastructure asset value.</t>
  </si>
  <si>
    <t>Energy Cost  (Local Currency/L and Local Currency/kWh)</t>
  </si>
  <si>
    <t>Unit price of energy: Diesel column = Local Currency per litre; Electric column = Local Currency per kWh.</t>
  </si>
  <si>
    <t>Maintenance Costs (Local Currency/km)</t>
  </si>
  <si>
    <t>Electric maintenance cost per km assumed at 60% of ICE</t>
  </si>
  <si>
    <t>Input</t>
  </si>
  <si>
    <t>Number of MiniMinibuses</t>
  </si>
  <si>
    <t>Fleet size: how many MiniMinibuses are in operation with the same specs and duty cycle.</t>
  </si>
  <si>
    <t>Life Cycle of the Minibuse</t>
  </si>
  <si>
    <t>Economic life of the Minibuse used in the model (years).</t>
  </si>
  <si>
    <t xml:space="preserve">Km. Travelled per Minibuse/yr. </t>
  </si>
  <si>
    <t>Annual distance per Minibuse (km per year).</t>
  </si>
  <si>
    <t>Efficiency (km/l y km/kWh)</t>
  </si>
  <si>
    <t>Output</t>
  </si>
  <si>
    <t>CAPEX</t>
  </si>
  <si>
    <t>Total Cost of Minibuses (Local Currency)</t>
  </si>
  <si>
    <t>Calculated CAPEX: Purchase price per Minibuse × number of MiniMinibuses.</t>
  </si>
  <si>
    <t>Infrastructure (Local Currency)</t>
  </si>
  <si>
    <t>Calculated CAPEX: Infrastructure cost for the fleet (chargers/depot upgrades).</t>
  </si>
  <si>
    <t>Battery Replacement (Local Currency)</t>
  </si>
  <si>
    <t>Estimated cost to replace the traction battery at the scheduled year (capacity × price/kWh at that time).</t>
  </si>
  <si>
    <t>Total</t>
  </si>
  <si>
    <t>Sum of CAPEX items for the chosen technology.</t>
  </si>
  <si>
    <t>OPEX</t>
  </si>
  <si>
    <t>Annual Energy Costs (Local Currency)</t>
  </si>
  <si>
    <t>Calculated OPEX: Annual kilometres ÷ efficiency × energy unit price (diesel L or electricity kWh).</t>
  </si>
  <si>
    <t>Annual Maintenance Costs (Local Currency)</t>
  </si>
  <si>
    <t>Calculated OPEX: Annual kilometres × maintenance cost per km.</t>
  </si>
  <si>
    <t>Year Total</t>
  </si>
  <si>
    <t>Sum of annual energy and annual maintenance costs.</t>
  </si>
  <si>
    <t>Operation</t>
  </si>
  <si>
    <t>Days of Operation</t>
  </si>
  <si>
    <t>Average number of operating days per month.</t>
  </si>
  <si>
    <t>Months</t>
  </si>
  <si>
    <t>Months per year in operation (typically 12).</t>
  </si>
  <si>
    <t>km/day</t>
  </si>
  <si>
    <t>Average kilometres driven on an operating day.</t>
  </si>
  <si>
    <t>Battery Replacement Costs</t>
  </si>
  <si>
    <t>Battery Capacity</t>
  </si>
  <si>
    <t>kWh</t>
  </si>
  <si>
    <t>Battery pack capacity per Minibuse (kWh).</t>
  </si>
  <si>
    <t>Battery prices (Local Currency)</t>
  </si>
  <si>
    <t>Local Currency/kWh</t>
  </si>
  <si>
    <t xml:space="preserve">Percent Change of battery 8th-yr </t>
  </si>
  <si>
    <t>Discount</t>
  </si>
  <si>
    <t>Battery prices 8th-yr</t>
  </si>
  <si>
    <t>$/kWh</t>
  </si>
  <si>
    <t>Implied price per kWh in year 8 after applying the % change.</t>
  </si>
  <si>
    <t xml:space="preserve">Battery Price </t>
  </si>
  <si>
    <t>Total replacement battery cost = Battery capacity × battery price per kWh at replacement year.</t>
  </si>
  <si>
    <t>INCENTIVES (optional)</t>
  </si>
  <si>
    <t>Enter incentives to compare 'with' vs 'without'. Defaults are zero.</t>
  </si>
  <si>
    <t>EV vehicle CAPEX</t>
  </si>
  <si>
    <t>Bus price before capital incentives (Local Currency/bus)</t>
  </si>
  <si>
    <t>Gross EV bus price used in base case.</t>
  </si>
  <si>
    <t>Vehicle capital incentive (Local Currency/bus)</t>
  </si>
  <si>
    <t>EV only: Upfront grant / tax relief applied at purchase (reduces financed principal). Diesel: N/A.</t>
  </si>
  <si>
    <t>Vehicle capital incentive (Local Currency total for fleet)</t>
  </si>
  <si>
    <t>Calculated: incentive per bus × number of minibuses.</t>
  </si>
  <si>
    <t>Bus price after capital incentives (Local Currency/bus)</t>
  </si>
  <si>
    <t>Net bus price used in 'with incentives' scenario.</t>
  </si>
  <si>
    <t>EV infrastructure CAPEX</t>
  </si>
  <si>
    <t>Infrastructure cost before incentives (Local Currency total)</t>
  </si>
  <si>
    <t>Gross infrastructure cost (fleet total) used in base case.</t>
  </si>
  <si>
    <t>Infrastructure capital incentive (Local Currency total)</t>
  </si>
  <si>
    <t>EV only: Upfront grant / tax relief applied to charging/infra. Diesel: N/A.</t>
  </si>
  <si>
    <t>Infrastructure cost after incentives (Local Currency total)</t>
  </si>
  <si>
    <t>Net infrastructure cost used in 'with incentives' scenario.</t>
  </si>
  <si>
    <t>EV OPEX (electricity)</t>
  </si>
  <si>
    <t>Electricity price before incentive (Local Currency/kWh)</t>
  </si>
  <si>
    <t>Base electricity tariff used in base case.</t>
  </si>
  <si>
    <t>Electricity price incentive (Local Currency/kWh)</t>
  </si>
  <si>
    <t>EV only: Tariff rebate / incentive per kWh (reduces EV OPEX). Diesel: N/A.</t>
  </si>
  <si>
    <t>Electricity price after incentive (Local Currency/kWh)</t>
  </si>
  <si>
    <t>Net electricity tariff used in 'with incentives' scenario.</t>
  </si>
  <si>
    <t>Variables</t>
  </si>
  <si>
    <t>Item</t>
  </si>
  <si>
    <t xml:space="preserve">Diesel </t>
  </si>
  <si>
    <t xml:space="preserve">Electric </t>
  </si>
  <si>
    <t>Number of Minibuses Needed</t>
  </si>
  <si>
    <t>How many Minibuses are included in the plan.</t>
  </si>
  <si>
    <t xml:space="preserve">Construction of Gas Station (Local Currency) </t>
  </si>
  <si>
    <t>One‑time cost to build a diesel fueling station (tanks, pumps, canopies).</t>
  </si>
  <si>
    <t>Type of Point Charging Equipment</t>
  </si>
  <si>
    <t>Fast Charge 200KW</t>
  </si>
  <si>
    <t>The charger type and power rating used (e.g., DC fast 200 kW).</t>
  </si>
  <si>
    <t>Battery Size (kWh)</t>
  </si>
  <si>
    <t>Usable capacity of the Minibus traction battery.</t>
  </si>
  <si>
    <t>Charger Power (kW)</t>
  </si>
  <si>
    <t>Maximum charging output of the charger.</t>
  </si>
  <si>
    <t>Time to Charge Bus (hours)</t>
  </si>
  <si>
    <t>Approximate time to charge one minibus from typical arrival SOC to target SOC.</t>
  </si>
  <si>
    <t>Available Hours to Charge at night</t>
  </si>
  <si>
    <t>Total charging window available each night.</t>
  </si>
  <si>
    <t>Minibuses per Charger</t>
  </si>
  <si>
    <t>How many Minibuses one charger can serve per night.</t>
  </si>
  <si>
    <t>Number of Chargers Needed</t>
  </si>
  <si>
    <t>Total chargers required for the fleet.</t>
  </si>
  <si>
    <t>Cost of Chargers</t>
  </si>
  <si>
    <t>Hardware cost per charger (charger unit only).</t>
  </si>
  <si>
    <t>Number of Chargers per depot</t>
  </si>
  <si>
    <t>How many chargers you plan to install at each depot.</t>
  </si>
  <si>
    <t>Number of depots needed</t>
  </si>
  <si>
    <t>cost of charging depot</t>
  </si>
  <si>
    <t>Typical all‑in site setup cost per depot (civils, cabinets, wiring, minor works).</t>
  </si>
  <si>
    <t>Lease (Per month per depot)</t>
  </si>
  <si>
    <t>Monthly property/site lease for each depot location. Only if applicable</t>
  </si>
  <si>
    <t>Total lease per month</t>
  </si>
  <si>
    <t>Monthly lease summed across all depots.</t>
  </si>
  <si>
    <t>Lease year 1</t>
  </si>
  <si>
    <t>First‑year lease spend.</t>
  </si>
  <si>
    <t>Civil Works</t>
  </si>
  <si>
    <t>Groundworks: slabs, ducts, bollards, fencing, shelters, bases.</t>
  </si>
  <si>
    <t>Utility and Electrical</t>
  </si>
  <si>
    <t>Grid upgrades and wiring: transformer, switchgear, panels, cabling, meters.</t>
  </si>
  <si>
    <t>Electric Equipment Costs</t>
  </si>
  <si>
    <t>All charging hardware (chargers, switchgear, cabinets) before installation.</t>
  </si>
  <si>
    <t>Installation Costs (18%)</t>
  </si>
  <si>
    <t>Labour/installation cost as % of equipment cost.</t>
  </si>
  <si>
    <t>Total Infrastructure Cost</t>
  </si>
  <si>
    <t>All one‑time site costs to enable operations.</t>
  </si>
  <si>
    <t>Estimated Bus Price</t>
  </si>
  <si>
    <t>Purchase price for one new bus (exclude VAT if your model does).</t>
  </si>
  <si>
    <t>Infrastructure Costs</t>
  </si>
  <si>
    <t>One‑time cost to build diesel fueling infrastructure (tanks, pumps, canopies, civils).</t>
  </si>
  <si>
    <t>Number of Minibuses</t>
  </si>
  <si>
    <t>Fleet size covered by these inputs.</t>
  </si>
  <si>
    <t>Initial Equity per Minibus (Down payment)</t>
  </si>
  <si>
    <t>Assumption</t>
  </si>
  <si>
    <t>Deposit paid upfront when financing the bus (reduces the loan principal).</t>
  </si>
  <si>
    <t>Minibuses: Annual Interest Rate (%)</t>
  </si>
  <si>
    <t>&lt;&lt; INPUT</t>
  </si>
  <si>
    <t>Nominal annual interest rate on the bus loan.</t>
  </si>
  <si>
    <t>Minibuses: Payback period (years)</t>
  </si>
  <si>
    <t>Loan term for the bus financing.</t>
  </si>
  <si>
    <t>Minibuses: Insurance percent rate</t>
  </si>
  <si>
    <t>Annual insurance premium expressed as % of bus value.</t>
  </si>
  <si>
    <t>Infra: Annual Interest Rate (%)</t>
  </si>
  <si>
    <t>Interest rate used to finance fueling infrastructure.</t>
  </si>
  <si>
    <t>Infra: Payback period (years)</t>
  </si>
  <si>
    <t>Loan term for infrastructure financing.</t>
  </si>
  <si>
    <t>Infra: Maintenance percent-per-year</t>
  </si>
  <si>
    <t>Annual upkeep of infrastructure (inspection, servicing) as % of asset value.</t>
  </si>
  <si>
    <t>Annual distance travelled (km/yr)</t>
  </si>
  <si>
    <t>Expected annual kilometres driven by each bus.</t>
  </si>
  <si>
    <t>Diesel Market Price ($/L)</t>
  </si>
  <si>
    <t>Pump price of diesel.</t>
  </si>
  <si>
    <t>Annual variation of diesel price  (%)</t>
  </si>
  <si>
    <t>Expected annual % increase in diesel price (for escalation).</t>
  </si>
  <si>
    <t>Engine Efficiency (km/L)</t>
  </si>
  <si>
    <t>Fuel economy of the bus (higher = better).</t>
  </si>
  <si>
    <t>Maintenance Price ($/km)</t>
  </si>
  <si>
    <t>Average maintenance cost per km (tyres, servicing, parts).</t>
  </si>
  <si>
    <t>Annual Inflation Rate (%)</t>
  </si>
  <si>
    <t>General inflation used to escalate non‑fuel costs (e.g., maintenance).</t>
  </si>
  <si>
    <t>Financing for Minibuses</t>
  </si>
  <si>
    <t>Financing for Infrastructure</t>
  </si>
  <si>
    <t>Initial Debt  ($)</t>
  </si>
  <si>
    <t>Yearly payment ($)</t>
  </si>
  <si>
    <t>Yearly  payment ($)</t>
  </si>
  <si>
    <t>CAPEX: Minibuses</t>
  </si>
  <si>
    <t>Year 0</t>
  </si>
  <si>
    <t>Year 1</t>
  </si>
  <si>
    <t>Year 2</t>
  </si>
  <si>
    <t>Year 3</t>
  </si>
  <si>
    <t>Year 4</t>
  </si>
  <si>
    <t>Year 5</t>
  </si>
  <si>
    <t>Year 6</t>
  </si>
  <si>
    <t>Year 7</t>
  </si>
  <si>
    <t>Year 8</t>
  </si>
  <si>
    <t>Year 9</t>
  </si>
  <si>
    <t>Year 10</t>
  </si>
  <si>
    <t>TOTAL</t>
  </si>
  <si>
    <t>Initial Balance ($)</t>
  </si>
  <si>
    <t>Fix Rate ($)</t>
  </si>
  <si>
    <t>Interests ($)</t>
  </si>
  <si>
    <t>Capital Subscription ($)</t>
  </si>
  <si>
    <t>Final Balance ($)</t>
  </si>
  <si>
    <t>Depreciation Rate</t>
  </si>
  <si>
    <t>Resale Value</t>
  </si>
  <si>
    <t>CAPEX: Infrastructure</t>
  </si>
  <si>
    <t xml:space="preserve">Energy </t>
  </si>
  <si>
    <t>Diesel Price  ($/L)</t>
  </si>
  <si>
    <t>Annual Variation (%)</t>
  </si>
  <si>
    <t>Engine Efficiency (L/km)</t>
  </si>
  <si>
    <t>Diesel Consumption ($)</t>
  </si>
  <si>
    <t>Maintenance</t>
  </si>
  <si>
    <t>Maintenance cost rate ($/km)</t>
  </si>
  <si>
    <t>Annual variation on maintenance (%)</t>
  </si>
  <si>
    <t>Annual Maintenance Costs ($)</t>
  </si>
  <si>
    <t>Insurance Costs</t>
  </si>
  <si>
    <t>Infra: Maintenance cost rate ($/km)</t>
  </si>
  <si>
    <t>Infra: Annual variation on maintenance (%)</t>
  </si>
  <si>
    <t>Infra: Annual Maintenance Costs ($)</t>
  </si>
  <si>
    <t>Total Maintenance</t>
  </si>
  <si>
    <t>TOTAL PER  YEAR ($)</t>
  </si>
  <si>
    <t>Estimated Minibus Price</t>
  </si>
  <si>
    <t>Purchase price for one new electric bus (exclude VAT if your model does).</t>
  </si>
  <si>
    <t>All one‑time costs to enable charging (civil works, utility upgrades, chargers, cabinets, installation).</t>
  </si>
  <si>
    <t>Initial Equity per Bus (Down payment)</t>
  </si>
  <si>
    <t>Battery Replacement Cost</t>
  </si>
  <si>
    <t>Estimated traction battery replacement cost at the scheduled year.</t>
  </si>
  <si>
    <t>Loan term for electric Minibuses.</t>
  </si>
  <si>
    <t>Annual insurance premium as % of bus value.</t>
  </si>
  <si>
    <t>Chargers: Insurance percent rate</t>
  </si>
  <si>
    <t>Annual insurance premium as % of charger + electrical gear value.</t>
  </si>
  <si>
    <t>Interest rate used to finance charging infrastructure.</t>
  </si>
  <si>
    <t>Annual upkeep of charging infrastructure (inspection, servicing).</t>
  </si>
  <si>
    <t>Energy Price  ($/kWh)</t>
  </si>
  <si>
    <t>Electricity tariff per kWh paid by the operator.</t>
  </si>
  <si>
    <t>Annual variation of Electricity price  (%)</t>
  </si>
  <si>
    <t>Expected annual % increase in electricity price (for escalation).</t>
  </si>
  <si>
    <t>Engine Efficiency  (kWh/km)</t>
  </si>
  <si>
    <t>Energy use of the bus per kilometre (lower is better).</t>
  </si>
  <si>
    <t>General inflation used to escalate non‑energy costs (e.g., maintenance).</t>
  </si>
  <si>
    <t>Battery Replacement</t>
  </si>
  <si>
    <t>Total Bus and Battery</t>
  </si>
  <si>
    <t>Energy Price ($/kWh)</t>
  </si>
  <si>
    <t>Engine Efficiency (km/Kw)</t>
  </si>
  <si>
    <t>Energy Consumption ($)</t>
  </si>
  <si>
    <t>Insurance Costs (Bus)</t>
  </si>
  <si>
    <t>Insurance Cost (Chargers)</t>
  </si>
  <si>
    <t>Lease</t>
  </si>
  <si>
    <t>Yearly Lease</t>
  </si>
  <si>
    <t xml:space="preserve">Yearly Variation </t>
  </si>
  <si>
    <t>Total Cost of Ownership</t>
  </si>
  <si>
    <t>10 year total costs</t>
  </si>
  <si>
    <t>Diesel MBT</t>
  </si>
  <si>
    <t>Electric MBT</t>
  </si>
  <si>
    <t>Electric MBT (with incentives)</t>
  </si>
  <si>
    <t>CAPEX: Minibuses (M Local Currency)</t>
  </si>
  <si>
    <t>CAPEX: Infrastructure (M Local Currency)</t>
  </si>
  <si>
    <t>OPEX: Energy (M Local Currency)</t>
  </si>
  <si>
    <t>OPEX: Maintenance (M Local Currency)</t>
  </si>
  <si>
    <t>Depot lease</t>
  </si>
  <si>
    <t>Total Cost of Ownership  (M Local Currency)</t>
  </si>
  <si>
    <t>Conditional Go/Maybe/No-Go Decision</t>
  </si>
  <si>
    <t>GO if EV TCO ≤ 95% of diesel; MAYBE if |EV−diesel| ≤ 5% of diesel; NO-GO if EV TCO &gt; 105% of diesel</t>
  </si>
  <si>
    <t>Technology Type</t>
  </si>
  <si>
    <t>Cummulative comparison:The total cost of operating each technology (diesel vs electric) over time, calculated by adding every year’s cost to all previous years. It shows how much each option has cost up to that point, allowing you to see when the electric bus becomes cheaper than the diesel bus (the breakeven point).</t>
  </si>
  <si>
    <t>Resale</t>
  </si>
  <si>
    <t>Lease TCO Outputs (Minimal: EV vs ICE)</t>
  </si>
  <si>
    <t>Metric</t>
  </si>
  <si>
    <t>EV</t>
  </si>
  <si>
    <t>ICE</t>
  </si>
  <si>
    <t>Units</t>
  </si>
  <si>
    <t>How it's computed</t>
  </si>
  <si>
    <t>What it means</t>
  </si>
  <si>
    <t>Monthly_energy_cost</t>
  </si>
  <si>
    <t>R/month</t>
  </si>
  <si>
    <t>Monthly_km × Energy_cost_per_km</t>
  </si>
  <si>
    <t>Your estimated power/fuel spend per month.</t>
  </si>
  <si>
    <t>Monthly_maint_cost</t>
  </si>
  <si>
    <t>IF lease is full-maintenance THEN 0 ELSE Monthly_km × Maintenance_per_km</t>
  </si>
  <si>
    <t>What you pay for maintenance each month (0 if included in lease).</t>
  </si>
  <si>
    <t>Monthly_total_cost</t>
  </si>
  <si>
    <t>Lease rent + energy + maintenance + insurance + licence</t>
  </si>
  <si>
    <t>Total monthly cash out for one vehicle.</t>
  </si>
  <si>
    <t>Simple_TCO_per_km</t>
  </si>
  <si>
    <t>R/km</t>
  </si>
  <si>
    <t>Monthly_total_cost ÷ Monthly_km</t>
  </si>
  <si>
    <t>Cost per kilometre today (no timing effects).</t>
  </si>
  <si>
    <t>Monthly_discount_rate</t>
  </si>
  <si>
    <t>rate</t>
  </si>
  <si>
    <t>(1 + Discount_rate_pa)^(1/12) − 1</t>
  </si>
  <si>
    <t>Your monthly time value of money (optional).</t>
  </si>
  <si>
    <t>Annuity_factor_months</t>
  </si>
  <si>
    <t>months</t>
  </si>
  <si>
    <t>(1 − (1 + r)^−Term_months) ÷ r</t>
  </si>
  <si>
    <t>Factor to convert a level monthly stream into today’s value.</t>
  </si>
  <si>
    <t>Discounted_TCO_per_km</t>
  </si>
  <si>
    <t>Present-value TCO per km” =Sum of PV of each monthly cost stream (Lease + Energy + Maintenance + Insurance + Licence) with escalation ÷ discounted km</t>
  </si>
  <si>
    <t>Average per-km cost over the lease term that includes annual escalations and time value of money. Use this to compare EV vs ICE on a like-for-like, fully discounted basis. If it’s higher than Simple_TCO_per_km, escalations are driving costs up over time.</t>
  </si>
  <si>
    <t>EV_minus_ICE (Simple)</t>
  </si>
  <si>
    <t>EV simple TCO per km − ICE simple TCO per km</t>
  </si>
  <si>
    <t>Negative number means EV is cheaper per km.</t>
  </si>
  <si>
    <t>EV_minus_ICE (Discounted)</t>
  </si>
  <si>
    <t>EV discounted TCO per km − ICE discounted TCO per km</t>
  </si>
  <si>
    <t>Same meaning as above; equals simple when no once-offs.</t>
  </si>
  <si>
    <t>Fleet_monthly_total_km</t>
  </si>
  <si>
    <t>km/month</t>
  </si>
  <si>
    <t>Monthly_km × Number_of_vehicles</t>
  </si>
  <si>
    <t>Total distance your fleet runs each month.</t>
  </si>
  <si>
    <t>Fleet_monthly_total_cost</t>
  </si>
  <si>
    <t>Monthly_total_cost × Number_of_vehicles</t>
  </si>
  <si>
    <t>Total monthly spend for the whole fleet.</t>
  </si>
  <si>
    <t>Section</t>
  </si>
  <si>
    <t>What it means (plain language)</t>
  </si>
  <si>
    <t>In the model (sheet!cell)</t>
  </si>
  <si>
    <t>What you do</t>
  </si>
  <si>
    <t>Where to get this info</t>
  </si>
  <si>
    <t>How the model uses it (logic + figures)</t>
  </si>
  <si>
    <t>CAPEX &amp; FINANCING – VEHICLES</t>
  </si>
  <si>
    <t>Minibus price (Local Currency)</t>
  </si>
  <si>
    <t>Up‑front purchase price per vehicle (excluding VAT if your model excludes VAT).</t>
  </si>
  <si>
    <t>Cost YR1!B3 (Diesel), C3 (Electric)</t>
  </si>
  <si>
    <t>Enter per‑vehicle list price or executed quote.</t>
  </si>
  <si>
    <t>OEM quote, tender award, pro‑forma invoice.</t>
  </si>
  <si>
    <t>Forms base CAPEX. Multiplied by fleet size. Financed using inputs below (downpayment, interest, term).</t>
  </si>
  <si>
    <t>Initial equity / downpayment (%)</t>
  </si>
  <si>
    <t>Share of vehicle price paid up‑front; the rest is financed.</t>
  </si>
  <si>
    <t>TCO ICE!B5; TCO Electric!B5</t>
  </si>
  <si>
    <t>Set your standard deposit (e.g., 25%).</t>
  </si>
  <si>
    <t>Fleet finance policy; bank/DFI term sheet.</t>
  </si>
  <si>
    <t>Reduces financed principal by this percent. **Current default: 25%**.</t>
  </si>
  <si>
    <t>Vehicle loan interest rate (%)</t>
  </si>
  <si>
    <t>Annual nominal interest rate applied to the vehicle loan.</t>
  </si>
  <si>
    <t>TCO ICE!B6; TCO Electric!B7</t>
  </si>
  <si>
    <t>Enter the all‑in interest rate.</t>
  </si>
  <si>
    <t>Loan offer / DFI sheet (APR, margin + base).</t>
  </si>
  <si>
    <t>Determines annual finance charges in the cashflow. **Current defaults: Diesel 15.88%; Electric 16.54%**.</t>
  </si>
  <si>
    <t>Vehicle loan term (years)</t>
  </si>
  <si>
    <t>Repayment period used for the vehicle financing.</t>
  </si>
  <si>
    <t>TCO ICE!B7; TCO Electric!B8</t>
  </si>
  <si>
    <t>Enter the agreed term (often 5–10 years).</t>
  </si>
  <si>
    <t>Loan agreement / credit policy.</t>
  </si>
  <si>
    <t>Shapes annual repayments (principal + interest). **Current default: 10 years**.</t>
  </si>
  <si>
    <t>Vehicle insurance rate (% of asset value/yr)</t>
  </si>
  <si>
    <t>Annual insurance as a percent of vehicle asset value.</t>
  </si>
  <si>
    <t>Cost YR1!B7 (Diesel), C7 (Electric)</t>
  </si>
  <si>
    <t>Enter your insurer’s percent rate.</t>
  </si>
  <si>
    <t>Broker quote; insurer schedule.</t>
  </si>
  <si>
    <t>Adds an annual OPEX line that decays slightly each year if an insurance variation is set. **Current defaults: Diesel 3.0%; Electric 3.5%**.</t>
  </si>
  <si>
    <t>CAPEX &amp; FINANCING – INFRASTRUCTURE</t>
  </si>
  <si>
    <t>Total infrastructure cost (Local Currency)</t>
  </si>
  <si>
    <t>All one‑time costs to enable operations (chargers, civils, grids) for EV; or fuel station for diesel.</t>
  </si>
  <si>
    <t>Cost YR1!B4 (Diesel), C4 (Electric) → from Infrastructure Cost tab</t>
  </si>
  <si>
    <t>Fill the Infrastructure Cost tab; this cell pulls totals in automatically.</t>
  </si>
  <si>
    <t>Site design BoQ; EPC quotes; utility upgrade estimate; fuel station EPC.</t>
  </si>
  <si>
    <t>Adds to CAPEX and, if financed, generates finance costs similar to vehicles.</t>
  </si>
  <si>
    <t>Infra loan interest rate (%)</t>
  </si>
  <si>
    <t>Interest rate applied to infrastructure financing.</t>
  </si>
  <si>
    <t>TCO ICE!B9; TCO Electric!B11</t>
  </si>
  <si>
    <t>Enter your negotiated infra rate.</t>
  </si>
  <si>
    <t>DFI/EPC financing terms; bank facility.</t>
  </si>
  <si>
    <t>Used for infra finance charges. **Current default: vehicle rate minus 2 percentage points**.</t>
  </si>
  <si>
    <t>Infra loan term (years)</t>
  </si>
  <si>
    <t>Repayment period for infrastructure financing.</t>
  </si>
  <si>
    <t>TCO ICE!B10; TCO Electric!B12</t>
  </si>
  <si>
    <t>Set the loan tenor (often aligned with concession/lease).</t>
  </si>
  <si>
    <t>Loan agreement; concession term.</t>
  </si>
  <si>
    <t>Shapes annual repayments on infra CAPEX. **Current default: 10 years**.</t>
  </si>
  <si>
    <t>Infra maintenance (% of infra value/yr)</t>
  </si>
  <si>
    <t>Annual upkeep on infrastructure as a percent of its value.</t>
  </si>
  <si>
    <t>TCO ICE!B11; TCO Electric!B13</t>
  </si>
  <si>
    <t>Enter planned maintenance provision.</t>
  </si>
  <si>
    <t>EPC/OEM service contracts; internal maintenance plan.</t>
  </si>
  <si>
    <t>Adds yearly OPEX for infra upkeep. **Current default: 0.25%/yr**.</t>
  </si>
  <si>
    <t>Depot lease (EV only)</t>
  </si>
  <si>
    <t>Property lease cost for charging depots (per year).</t>
  </si>
  <si>
    <t>Infrastructure Cost!C19 → Cost YR1!C5 → TCO Electric!C63:L63</t>
  </si>
  <si>
    <t>Enter monthly lease per depot on Infrastructure Cost tab.</t>
  </si>
  <si>
    <t>Real estate lease; landlord offer.</t>
  </si>
  <si>
    <t>Adds an annual OPEX line; escalates by the energy/OPEX variation setting. **Current default: year‑1 total from Infrastructure Cost**.</t>
  </si>
  <si>
    <t>OPERATIONS – DUTY &amp; SCALE</t>
  </si>
  <si>
    <t>Fleet size (number of vehicles)</t>
  </si>
  <si>
    <t>How many vehicles run with the same specs and duty.</t>
  </si>
  <si>
    <t>Cost YR1!B12 (Diesel), C12 (Electric)</t>
  </si>
  <si>
    <t>Enter the number of vehicles for this case.</t>
  </si>
  <si>
    <t>Dispatch plan; fleet roster.</t>
  </si>
  <si>
    <t>Scales all per‑vehicle values (CAPEX, energy, maintenance) to fleet totals. **Current default: 30**.</t>
  </si>
  <si>
    <t>Operating days per month; months per year; km/day</t>
  </si>
  <si>
    <t>Duty cycle that sets annual kilometres per vehicle.</t>
  </si>
  <si>
    <t>Cost YR1!B30 (days), B31 (months), B32 (km/day)</t>
  </si>
  <si>
    <t>Enter realistic averages for the route.</t>
  </si>
  <si>
    <t>Telematics; odometer logs; duty schedules.</t>
  </si>
  <si>
    <t>Annual km = days × months × km/day. **Current defaults: 28 days, 12 months, 167 km/day**.</t>
  </si>
  <si>
    <t>OPEX – ENERGY &amp; MAINTENANCE</t>
  </si>
  <si>
    <t>Energy price</t>
  </si>
  <si>
    <t>Unit price of diesel (per L) or electricity (per kWh).</t>
  </si>
  <si>
    <t>Cost YR1!B9 (diesel price), C9 (electricity price)</t>
  </si>
  <si>
    <t>Enter current prices net of recoverable taxes where applicable.</t>
  </si>
  <si>
    <t>Fuel contracts; utility tariff; recent invoices.</t>
  </si>
  <si>
    <t>Annual energy cost = (annual km ÷ efficiency) × unit price. **Current defaults: Diesel 1.2 (per L), Electric value in C9**.</t>
  </si>
  <si>
    <t>Efficiency (km/L or km/kWh)</t>
  </si>
  <si>
    <t>Distance per unit of energy: diesel km per litre; EV km per kWh.</t>
  </si>
  <si>
    <t>Cost YR1!B15 (km/L), C15 (km/kWh)</t>
  </si>
  <si>
    <t>Enter tested or warranted efficiencies for the duty.</t>
  </si>
  <si>
    <t>OEM specs; controlled route tests; logged data.</t>
  </si>
  <si>
    <t>Drives fuel/electricity volume. **Current defaults: Diesel 5.3 km/L; Electric 1.33 km/kWh**.</t>
  </si>
  <si>
    <t>Annual energy price variation (%)</t>
  </si>
  <si>
    <t>Expected yearly escalation in diesel/electricity prices.</t>
  </si>
  <si>
    <t>TCO ICE!B15 (diesel), TCO Electric!B20 (electric)</t>
  </si>
  <si>
    <t>Enter your escalation (real or nominal).</t>
  </si>
  <si>
    <t>Tariff path; fuel futures; regulator guidance.</t>
  </si>
  <si>
    <t>Escalates energy cost in years 2–10. **Current defaults: diesel +5.84%/yr; electric uses B20**.</t>
  </si>
  <si>
    <t>Maintenance cost (Local Currency/km)</t>
  </si>
  <si>
    <t>Maintenance spend per kilometre for the vehicle technology.</t>
  </si>
  <si>
    <t>Cost YR1!B10 (diesel), C10 (electric)</t>
  </si>
  <si>
    <t>Enter average cost per kilometre.</t>
  </si>
  <si>
    <t>Workshop ERP; historical ledgers; OEM AMC.</t>
  </si>
  <si>
    <t>Annual maintenance = rate × fleet × annual km. **Current defaults: Diesel 0.165; Electric 0.009 per km**.</t>
  </si>
  <si>
    <t>Annual maintenance variation (%)</t>
  </si>
  <si>
    <t>Expected yearly escalation in maintenance costs.</t>
  </si>
  <si>
    <t>TCO ICE!B18; TCO Electric!B20</t>
  </si>
  <si>
    <t>Set a prudent escalation rate.</t>
  </si>
  <si>
    <t>Inflation outlook; AMC clauses.</t>
  </si>
  <si>
    <t>Increases maintenance lines each year. **Current default: same escalation as energy in each sheet**.</t>
  </si>
  <si>
    <t>Insurance annual variation (%)</t>
  </si>
  <si>
    <t>Expected yearly change in insurance cost lines.</t>
  </si>
  <si>
    <t>TCO ICE!B51; TCO Electric!B55/B57</t>
  </si>
  <si>
    <t>Enter the insurer’s annual change (often negative if asset value declines).</t>
  </si>
  <si>
    <t>Insurer schedule; policy terms.</t>
  </si>
  <si>
    <t>Applies to bus and charger insurance lines annually. **Current default: −2%/yr**.</t>
  </si>
  <si>
    <t>EV‑SPECIFIC – BATTERY &amp; INFRA DETAIL</t>
  </si>
  <si>
    <t>Battery capacity (kWh)</t>
  </si>
  <si>
    <t>Traction battery size used for replacement cost logic.</t>
  </si>
  <si>
    <t>Cost YR1!B35 (value), B36 (price/kWh), B37 (8‑yr price reduction)</t>
  </si>
  <si>
    <t>Enter battery size and price per kWh; set expected price drop by year 8.</t>
  </si>
  <si>
    <t>OEM tech sheet; supplier quote; industry outlook.</t>
  </si>
  <si>
    <t>Computes year‑8 battery replacement cost: size × (price × (1 − reduction)). **Current defaults: 280 kWh; 200 per kWh; 60% reduction by year‑8**.</t>
  </si>
  <si>
    <t>Number of chargers and depot sizing</t>
  </si>
  <si>
    <t>How many chargers and depots are required to meet nightly charging windows.</t>
  </si>
  <si>
    <t>Infrastructure Cost!C10 (night hours), C7 (battery), C8 (power), C9 (time), C11 (buses/charger), C12 (chargers), C14 (chargers/site), C15 (depots)</t>
  </si>
  <si>
    <t>Enter nightly hours, battery size, charger power; set chargers per site.</t>
  </si>
  <si>
    <t>Operations plan; site survey; OEM guidance.</t>
  </si>
  <si>
    <t>Calculates charge time, buses per charger, total chargers and depots. Costs = equipment + depot packs + installation (currently **18%**)</t>
  </si>
  <si>
    <t>OUTPUTS – COMPARISON &amp; DECISIONS</t>
  </si>
  <si>
    <t>10‑year totals (CAPEX &amp; OPEX)</t>
  </si>
  <si>
    <t>Adds up all costs over the 10‑year horizon by category.</t>
  </si>
  <si>
    <t>Cost Comparison!B3:C8 (links to TCO ICE/Electric)</t>
  </si>
  <si>
    <t>No action — calculated.</t>
  </si>
  <si>
    <t>—</t>
  </si>
  <si>
    <t>Shows 10‑year CAPEX (vehicles, infra) and OPEX (energy, maintenance, insurance/infra) for diesel vs electric in **Millions of Local Currency**.</t>
  </si>
  <si>
    <t>Traffic‑light decision (Go / Maybe / No‑go)</t>
  </si>
  <si>
    <t>Simple rule comparing EV total cost to diesel total cost.</t>
  </si>
  <si>
    <t>Cost Comparison!B9</t>
  </si>
  <si>
    <t>If EV TCO ≤ Diesel TCO × **(1 − tolerance)** → **Conditional Go**; within **±5%** → **Maybe**; above **+5%** → **No‑go**. (Tolerance set inside the decision cell.)</t>
  </si>
  <si>
    <t>Breakeven point (year‑by‑year)</t>
  </si>
  <si>
    <t>Cumulative cost curves to see when EV overtakes diesel (if at all).</t>
  </si>
  <si>
    <t>Breakeven point!B3:J8</t>
  </si>
  <si>
    <t>Plots cumulative totals from Year 0 to Year 8 for each tech; the first year EV ≤ diesel indicates **payback year**.</t>
  </si>
  <si>
    <t>ICE MBT</t>
  </si>
  <si>
    <t>e-MBT</t>
  </si>
  <si>
    <t>How many depots (sites) are required.Diesel depots are assumed to be existing/sunk costs. This model focuses on incremental infrastructure required for EV charging (capex + upgrades) rather than historical diesel depot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</si>
</sst>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409]* #,##0.00_ ;_-[$$-409]* \-#,##0.00\ ;_-[$$-409]* &quot;-&quot;??_ ;_-@_ "/>
    <numFmt numFmtId="165" formatCode="_-[$$-409]* #,##0.000_ ;_-[$$-409]* \-#,##0.000\ ;_-[$$-409]* &quot;-&quot;??_ ;_-@_ "/>
    <numFmt numFmtId="166" formatCode="_-[$$-409]* #,##0.000_ ;_-[$$-409]* \-#,##0.000\ ;_-[$$-409]* &quot;-&quot;???_ ;_-@_ "/>
    <numFmt numFmtId="167" formatCode="0.0%"/>
    <numFmt numFmtId="168" formatCode="0.0"/>
    <numFmt numFmtId="169" formatCode="_-[$$-409]* #,##0.000_ ;_-[$$-409]* \-#,##0.000\ ;_-[$$-409]* &quot;-&quot;??.000_ ;_-@_ "/>
    <numFmt numFmtId="170" formatCode="0.0000%"/>
  </numFmts>
  <fonts count="19" x14ac:knownFonts="1">
    <font>
      <sz val="11"/>
      <color theme="1"/>
      <name val="Aptos Narrow"/>
      <scheme val="minor"/>
    </font>
    <font>
      <sz val="11"/>
      <color rgb="FF000000"/>
      <name val="Calibri"/>
    </font>
    <font>
      <b/>
      <sz val="16"/>
      <color rgb="FFFFFFFF"/>
      <name val="Calibri"/>
    </font>
    <font>
      <b/>
      <sz val="12"/>
      <color theme="1"/>
      <name val="Calibri"/>
    </font>
    <font>
      <sz val="11"/>
      <color theme="1"/>
      <name val="Calibri"/>
    </font>
    <font>
      <sz val="11"/>
      <color theme="1"/>
      <name val="Aptos Narrow"/>
    </font>
    <font>
      <sz val="11"/>
      <color theme="0"/>
      <name val="Aptos Narrow"/>
    </font>
    <font>
      <sz val="11"/>
      <color theme="1"/>
      <name val="Arial"/>
    </font>
    <font>
      <sz val="10"/>
      <color theme="1"/>
      <name val="Aptos Narrow"/>
    </font>
    <font>
      <sz val="10"/>
      <color theme="1"/>
      <name val="Arial"/>
    </font>
    <font>
      <sz val="11"/>
      <color rgb="FF00B0F0"/>
      <name val="Arial"/>
    </font>
    <font>
      <sz val="11"/>
      <color rgb="FFFFFFFF"/>
      <name val="Aptos Narrow"/>
    </font>
    <font>
      <sz val="11"/>
      <color rgb="FFFFFFFF"/>
      <name val="Arial"/>
    </font>
    <font>
      <sz val="11"/>
      <color theme="1"/>
      <name val="Aptos Narrow"/>
      <scheme val="minor"/>
    </font>
    <font>
      <b/>
      <sz val="11"/>
      <color theme="1"/>
      <name val="Calibri"/>
    </font>
    <font>
      <b/>
      <sz val="11"/>
      <color rgb="FFFFFFFF"/>
      <name val="Calibri"/>
    </font>
    <font>
      <b/>
      <sz val="11"/>
      <color theme="1"/>
      <name val="Aptos Narrow"/>
    </font>
    <font>
      <b/>
      <sz val="12"/>
      <color theme="0"/>
      <name val="Calibri"/>
    </font>
    <font>
      <sz val="11"/>
      <color theme="0"/>
      <name val="Aptos Narrow"/>
      <scheme val="minor"/>
    </font>
  </fonts>
  <fills count="14">
    <fill>
      <patternFill patternType="none"/>
    </fill>
    <fill>
      <patternFill patternType="gray125"/>
    </fill>
    <fill>
      <patternFill patternType="solid">
        <fgColor rgb="FF002060"/>
        <bgColor rgb="FF002060"/>
      </patternFill>
    </fill>
    <fill>
      <patternFill patternType="solid">
        <fgColor theme="0"/>
        <bgColor theme="0"/>
      </patternFill>
    </fill>
    <fill>
      <patternFill patternType="solid">
        <fgColor rgb="FFCAEDFB"/>
        <bgColor rgb="FFCAEDFB"/>
      </patternFill>
    </fill>
    <fill>
      <patternFill patternType="solid">
        <fgColor rgb="FFFFFFCC"/>
        <bgColor rgb="FFFFFFCC"/>
      </patternFill>
    </fill>
    <fill>
      <patternFill patternType="solid">
        <fgColor rgb="FFFFFFFF"/>
        <bgColor rgb="FFFFFFFF"/>
      </patternFill>
    </fill>
    <fill>
      <patternFill patternType="solid">
        <fgColor rgb="FFC1E4F5"/>
        <bgColor rgb="FFC1E4F5"/>
      </patternFill>
    </fill>
    <fill>
      <patternFill patternType="solid">
        <fgColor theme="1"/>
        <bgColor theme="1"/>
      </patternFill>
    </fill>
    <fill>
      <patternFill patternType="solid">
        <fgColor rgb="FFF2F2F2"/>
        <bgColor rgb="FFF2F2F2"/>
      </patternFill>
    </fill>
    <fill>
      <patternFill patternType="solid">
        <fgColor rgb="FFFFFF00"/>
        <bgColor theme="0"/>
      </patternFill>
    </fill>
    <fill>
      <patternFill patternType="solid">
        <fgColor rgb="FFFFFFFF"/>
      </patternFill>
    </fill>
    <fill>
      <patternFill patternType="solid">
        <fgColor rgb="FF002060"/>
        <bgColor indexed="64"/>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DDDDDD"/>
      </left>
      <right style="thin">
        <color rgb="FFDDDDDD"/>
      </right>
      <top style="thin">
        <color rgb="FFDDDDDD"/>
      </top>
      <bottom style="thin">
        <color rgb="FFDDDDDD"/>
      </bottom>
      <diagonal/>
    </border>
    <border>
      <left/>
      <right style="thin">
        <color rgb="FF000000"/>
      </right>
      <top/>
      <bottom/>
      <diagonal/>
    </border>
  </borders>
  <cellStyleXfs count="1">
    <xf numFmtId="0" fontId="0" fillId="0" borderId="5"/>
  </cellStyleXfs>
  <cellXfs count="90">
    <xf numFmtId="0" fontId="0" fillId="0" borderId="0" xfId="0" applyBorder="1"/>
    <xf numFmtId="0" fontId="1" fillId="0" borderId="0" xfId="0" applyFont="1" applyBorder="1"/>
    <xf numFmtId="0" fontId="5" fillId="0" borderId="1" xfId="0" applyFont="1" applyBorder="1"/>
    <xf numFmtId="0" fontId="6" fillId="2" borderId="1" xfId="0" applyFont="1" applyFill="1" applyBorder="1"/>
    <xf numFmtId="0" fontId="6" fillId="2" borderId="2" xfId="0" applyFont="1" applyFill="1" applyBorder="1"/>
    <xf numFmtId="0" fontId="7" fillId="3" borderId="1" xfId="0" applyFont="1" applyFill="1" applyBorder="1"/>
    <xf numFmtId="164" fontId="5" fillId="4" borderId="1" xfId="0" applyNumberFormat="1" applyFont="1" applyFill="1" applyBorder="1"/>
    <xf numFmtId="0" fontId="8" fillId="0" borderId="1" xfId="0" applyFont="1" applyBorder="1" applyAlignment="1">
      <alignment vertical="top" wrapText="1"/>
    </xf>
    <xf numFmtId="0" fontId="5" fillId="3" borderId="1" xfId="0" applyFont="1" applyFill="1" applyBorder="1"/>
    <xf numFmtId="164" fontId="5" fillId="5" borderId="1" xfId="0" applyNumberFormat="1" applyFont="1" applyFill="1" applyBorder="1"/>
    <xf numFmtId="0" fontId="9" fillId="0" borderId="1" xfId="0" applyFont="1" applyBorder="1" applyAlignment="1">
      <alignment vertical="top" wrapText="1"/>
    </xf>
    <xf numFmtId="0" fontId="5" fillId="4" borderId="1" xfId="0" applyFont="1" applyFill="1" applyBorder="1"/>
    <xf numFmtId="0" fontId="7" fillId="4" borderId="1" xfId="0" applyFont="1" applyFill="1" applyBorder="1"/>
    <xf numFmtId="9" fontId="5" fillId="4" borderId="1" xfId="0" applyNumberFormat="1" applyFont="1" applyFill="1" applyBorder="1"/>
    <xf numFmtId="165" fontId="5" fillId="4" borderId="1" xfId="0" applyNumberFormat="1" applyFont="1" applyFill="1" applyBorder="1"/>
    <xf numFmtId="165" fontId="5" fillId="5" borderId="1" xfId="0" applyNumberFormat="1" applyFont="1" applyFill="1" applyBorder="1"/>
    <xf numFmtId="0" fontId="9" fillId="0" borderId="1" xfId="0" applyFont="1" applyBorder="1"/>
    <xf numFmtId="0" fontId="5" fillId="5" borderId="1" xfId="0" applyFont="1" applyFill="1" applyBorder="1"/>
    <xf numFmtId="0" fontId="5" fillId="6" borderId="1" xfId="0" applyFont="1" applyFill="1" applyBorder="1"/>
    <xf numFmtId="0" fontId="5" fillId="2" borderId="1" xfId="0" applyFont="1" applyFill="1" applyBorder="1"/>
    <xf numFmtId="166" fontId="5" fillId="5" borderId="1" xfId="0" applyNumberFormat="1" applyFont="1" applyFill="1" applyBorder="1"/>
    <xf numFmtId="0" fontId="5" fillId="7" borderId="1" xfId="0" applyFont="1" applyFill="1" applyBorder="1"/>
    <xf numFmtId="0" fontId="5" fillId="3" borderId="1" xfId="0" applyFont="1" applyFill="1" applyBorder="1" applyAlignment="1">
      <alignment horizontal="left"/>
    </xf>
    <xf numFmtId="0" fontId="7" fillId="4" borderId="1" xfId="0" applyFont="1" applyFill="1" applyBorder="1" applyAlignment="1">
      <alignment horizontal="center"/>
    </xf>
    <xf numFmtId="0" fontId="8" fillId="6" borderId="1" xfId="0" applyFont="1" applyFill="1" applyBorder="1" applyAlignment="1">
      <alignment vertical="top" wrapText="1"/>
    </xf>
    <xf numFmtId="167" fontId="7" fillId="4" borderId="1" xfId="0" applyNumberFormat="1" applyFont="1" applyFill="1" applyBorder="1"/>
    <xf numFmtId="0" fontId="6" fillId="2" borderId="5" xfId="0" applyFont="1" applyFill="1"/>
    <xf numFmtId="0" fontId="11" fillId="2" borderId="5" xfId="0" applyFont="1" applyFill="1"/>
    <xf numFmtId="0" fontId="5" fillId="3" borderId="5" xfId="0" applyFont="1" applyFill="1"/>
    <xf numFmtId="0" fontId="7" fillId="3" borderId="5" xfId="0" applyFont="1" applyFill="1"/>
    <xf numFmtId="168" fontId="5" fillId="5" borderId="1" xfId="0" applyNumberFormat="1" applyFont="1" applyFill="1" applyBorder="1"/>
    <xf numFmtId="164" fontId="5" fillId="7" borderId="1" xfId="0" applyNumberFormat="1" applyFont="1" applyFill="1" applyBorder="1"/>
    <xf numFmtId="164" fontId="5" fillId="3" borderId="1" xfId="0" applyNumberFormat="1" applyFont="1" applyFill="1" applyBorder="1"/>
    <xf numFmtId="0" fontId="5" fillId="3" borderId="2" xfId="0" applyFont="1" applyFill="1" applyBorder="1"/>
    <xf numFmtId="164" fontId="5" fillId="5" borderId="5" xfId="0" applyNumberFormat="1" applyFont="1" applyFill="1"/>
    <xf numFmtId="9" fontId="5" fillId="7" borderId="1" xfId="0" applyNumberFormat="1" applyFont="1" applyFill="1" applyBorder="1"/>
    <xf numFmtId="10" fontId="5" fillId="7" borderId="1" xfId="0" applyNumberFormat="1" applyFont="1" applyFill="1" applyBorder="1"/>
    <xf numFmtId="9" fontId="5" fillId="5" borderId="1" xfId="0" applyNumberFormat="1" applyFont="1" applyFill="1" applyBorder="1"/>
    <xf numFmtId="10" fontId="5" fillId="5" borderId="1" xfId="0" applyNumberFormat="1" applyFont="1" applyFill="1" applyBorder="1"/>
    <xf numFmtId="10" fontId="5" fillId="4" borderId="1" xfId="0" applyNumberFormat="1" applyFont="1" applyFill="1" applyBorder="1"/>
    <xf numFmtId="0" fontId="5" fillId="9" borderId="1" xfId="0" applyFont="1" applyFill="1" applyBorder="1"/>
    <xf numFmtId="167" fontId="5" fillId="4" borderId="1" xfId="0" applyNumberFormat="1" applyFont="1" applyFill="1" applyBorder="1"/>
    <xf numFmtId="0" fontId="5" fillId="0" borderId="0" xfId="0" applyFont="1" applyBorder="1"/>
    <xf numFmtId="9" fontId="5" fillId="3" borderId="1" xfId="0" applyNumberFormat="1" applyFont="1" applyFill="1" applyBorder="1"/>
    <xf numFmtId="10" fontId="5" fillId="3" borderId="1" xfId="0" applyNumberFormat="1" applyFont="1" applyFill="1" applyBorder="1"/>
    <xf numFmtId="165" fontId="5" fillId="3" borderId="1" xfId="0" applyNumberFormat="1" applyFont="1" applyFill="1" applyBorder="1"/>
    <xf numFmtId="167" fontId="5" fillId="3" borderId="1" xfId="0" applyNumberFormat="1" applyFont="1" applyFill="1" applyBorder="1"/>
    <xf numFmtId="164" fontId="5" fillId="0" borderId="0" xfId="0" applyNumberFormat="1" applyFont="1" applyBorder="1"/>
    <xf numFmtId="167" fontId="5" fillId="5" borderId="1" xfId="0" applyNumberFormat="1" applyFont="1" applyFill="1" applyBorder="1"/>
    <xf numFmtId="9" fontId="7" fillId="4" borderId="1" xfId="0" applyNumberFormat="1" applyFont="1" applyFill="1" applyBorder="1"/>
    <xf numFmtId="0" fontId="5" fillId="9" borderId="5" xfId="0" applyFont="1" applyFill="1"/>
    <xf numFmtId="0" fontId="5" fillId="2" borderId="5" xfId="0" applyFont="1" applyFill="1"/>
    <xf numFmtId="164" fontId="5" fillId="3" borderId="5" xfId="0" applyNumberFormat="1" applyFont="1" applyFill="1"/>
    <xf numFmtId="0" fontId="6" fillId="0" borderId="0" xfId="0" applyFont="1" applyBorder="1"/>
    <xf numFmtId="0" fontId="12" fillId="2" borderId="1" xfId="0" applyFont="1" applyFill="1" applyBorder="1"/>
    <xf numFmtId="164" fontId="7" fillId="5" borderId="1" xfId="0" applyNumberFormat="1" applyFont="1" applyFill="1" applyBorder="1"/>
    <xf numFmtId="169" fontId="5" fillId="5" borderId="1" xfId="0" applyNumberFormat="1" applyFont="1" applyFill="1" applyBorder="1"/>
    <xf numFmtId="0" fontId="13" fillId="0" borderId="0" xfId="0" applyFont="1" applyBorder="1"/>
    <xf numFmtId="0" fontId="6" fillId="2" borderId="0" xfId="0" applyFont="1" applyFill="1" applyBorder="1"/>
    <xf numFmtId="164" fontId="5" fillId="0" borderId="1" xfId="0" applyNumberFormat="1" applyFont="1" applyBorder="1"/>
    <xf numFmtId="0" fontId="6" fillId="3" borderId="0" xfId="0" applyFont="1" applyFill="1" applyBorder="1"/>
    <xf numFmtId="170" fontId="5" fillId="0" borderId="0" xfId="0" applyNumberFormat="1" applyFont="1" applyBorder="1"/>
    <xf numFmtId="0" fontId="5" fillId="5" borderId="5" xfId="0" applyFont="1" applyFill="1"/>
    <xf numFmtId="0" fontId="14" fillId="9" borderId="0" xfId="0" applyFont="1" applyFill="1" applyBorder="1"/>
    <xf numFmtId="0" fontId="15" fillId="2" borderId="6" xfId="0" applyFont="1" applyFill="1" applyBorder="1" applyAlignment="1">
      <alignment vertical="top"/>
    </xf>
    <xf numFmtId="0" fontId="1" fillId="0" borderId="6" xfId="0" applyFont="1" applyBorder="1" applyAlignment="1">
      <alignment vertical="top"/>
    </xf>
    <xf numFmtId="0" fontId="13" fillId="0" borderId="5" xfId="0" applyFont="1"/>
    <xf numFmtId="164" fontId="5" fillId="11" borderId="1" xfId="0" applyNumberFormat="1" applyFont="1" applyFill="1" applyBorder="1"/>
    <xf numFmtId="165" fontId="5" fillId="11" borderId="1" xfId="0" applyNumberFormat="1" applyFont="1" applyFill="1" applyBorder="1"/>
    <xf numFmtId="0" fontId="10" fillId="8" borderId="5" xfId="0" applyFont="1" applyFill="1" applyAlignment="1">
      <alignment horizontal="center"/>
    </xf>
    <xf numFmtId="0" fontId="0" fillId="0" borderId="0" xfId="0" applyBorder="1"/>
    <xf numFmtId="0" fontId="2" fillId="2" borderId="5" xfId="0" applyFont="1" applyFill="1" applyAlignment="1">
      <alignment horizontal="center"/>
    </xf>
    <xf numFmtId="0" fontId="1" fillId="2" borderId="5" xfId="0" applyFont="1" applyFill="1"/>
    <xf numFmtId="0" fontId="4" fillId="0" borderId="5" xfId="0" applyFont="1" applyAlignment="1">
      <alignment horizontal="left" vertical="top" wrapText="1"/>
    </xf>
    <xf numFmtId="0" fontId="16" fillId="10" borderId="2" xfId="0" applyFont="1" applyFill="1" applyBorder="1" applyAlignment="1">
      <alignment horizontal="center" vertical="center"/>
    </xf>
    <xf numFmtId="0" fontId="0" fillId="0" borderId="7" xfId="0" applyBorder="1"/>
    <xf numFmtId="0" fontId="6" fillId="2" borderId="1" xfId="0" applyFont="1" applyFill="1" applyBorder="1" applyAlignment="1">
      <alignment horizontal="center"/>
    </xf>
    <xf numFmtId="0" fontId="0" fillId="0" borderId="3" xfId="0" applyBorder="1"/>
    <xf numFmtId="0" fontId="0" fillId="0" borderId="4" xfId="0" applyBorder="1"/>
    <xf numFmtId="0" fontId="5" fillId="9" borderId="1" xfId="0" applyFont="1" applyFill="1" applyBorder="1" applyAlignment="1">
      <alignment horizontal="center"/>
    </xf>
    <xf numFmtId="0" fontId="12" fillId="2" borderId="5" xfId="0" applyFont="1" applyFill="1" applyAlignment="1">
      <alignment wrapText="1"/>
    </xf>
    <xf numFmtId="0" fontId="6" fillId="2" borderId="1" xfId="0" applyFont="1" applyFill="1" applyBorder="1"/>
    <xf numFmtId="0" fontId="5" fillId="0" borderId="1" xfId="0" applyFont="1" applyBorder="1"/>
    <xf numFmtId="0" fontId="6" fillId="2" borderId="5" xfId="0" applyFont="1" applyFill="1"/>
    <xf numFmtId="0" fontId="0" fillId="0" borderId="0" xfId="0" applyBorder="1" applyAlignment="1">
      <alignment wrapText="1"/>
    </xf>
    <xf numFmtId="0" fontId="3" fillId="12" borderId="5" xfId="0" applyFont="1" applyFill="1" applyAlignment="1">
      <alignment horizontal="left" vertical="top"/>
    </xf>
    <xf numFmtId="0" fontId="0" fillId="12" borderId="0" xfId="0" applyFill="1" applyBorder="1"/>
    <xf numFmtId="0" fontId="17" fillId="12" borderId="5" xfId="0" applyFont="1" applyFill="1" applyAlignment="1">
      <alignment horizontal="left" vertical="top"/>
    </xf>
    <xf numFmtId="0" fontId="18" fillId="12" borderId="0" xfId="0" applyFont="1" applyFill="1" applyBorder="1"/>
    <xf numFmtId="0" fontId="0" fillId="13"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CAPEX over 10 Years</a:t>
            </a:r>
          </a:p>
        </c:rich>
      </c:tx>
      <c:overlay val="0"/>
    </c:title>
    <c:autoTitleDeleted val="0"/>
    <c:plotArea>
      <c:layout/>
      <c:barChart>
        <c:barDir val="bar"/>
        <c:grouping val="stacked"/>
        <c:varyColors val="1"/>
        <c:ser>
          <c:idx val="0"/>
          <c:order val="0"/>
          <c:tx>
            <c:v>CAPEX: Buses (M USD)</c:v>
          </c:tx>
          <c:spPr>
            <a:solidFill>
              <a:srgbClr val="156082"/>
            </a:solidFill>
            <a:ln cmpd="sng">
              <a:solidFill>
                <a:srgbClr val="000000"/>
              </a:solidFill>
              <a:prstDash val="solid"/>
            </a:ln>
          </c:spPr>
          <c:invertIfNegative val="1"/>
          <c:dLbls>
            <c:spPr>
              <a:noFill/>
              <a:ln>
                <a:noFill/>
                <a:prstDash val="solid"/>
              </a:ln>
            </c:spPr>
            <c:txPr>
              <a:bodyPr/>
              <a:lstStyle/>
              <a:p>
                <a:pPr lvl="0">
                  <a:defRPr sz="900" b="0" i="0">
                    <a:latin typeface="+mn-lt"/>
                  </a:defRPr>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Comparison'!$B$3:$C$3</c:f>
              <c:numCache>
                <c:formatCode>_-[$$-409]* #\ ##0.00_ ;_-[$$-409]* \-#\ ##0.00\ ;_-[$$-409]* "-"??_ ;_-@_ </c:formatCode>
                <c:ptCount val="2"/>
                <c:pt idx="0">
                  <c:v>9.2689874624715074</c:v>
                </c:pt>
                <c:pt idx="1">
                  <c:v>16.649048698486141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6BC0-4A83-959D-DF71CC0C46DA}"/>
            </c:ext>
          </c:extLst>
        </c:ser>
        <c:ser>
          <c:idx val="1"/>
          <c:order val="1"/>
          <c:tx>
            <c:v>CAPEX: Infrastructure (M USD)</c:v>
          </c:tx>
          <c:spPr>
            <a:solidFill>
              <a:srgbClr val="E97132"/>
            </a:solidFill>
            <a:ln cmpd="sng">
              <a:solidFill>
                <a:srgbClr val="000000"/>
              </a:solidFill>
              <a:prstDash val="solid"/>
            </a:ln>
          </c:spPr>
          <c:invertIfNegative val="1"/>
          <c:dLbls>
            <c:spPr>
              <a:noFill/>
              <a:ln>
                <a:noFill/>
                <a:prstDash val="solid"/>
              </a:ln>
            </c:spPr>
            <c:txPr>
              <a:bodyPr/>
              <a:lstStyle/>
              <a:p>
                <a:pPr lvl="0">
                  <a:defRPr sz="900" b="0" i="0">
                    <a:latin typeface="+mn-lt"/>
                  </a:defRPr>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Comparison'!$B$4:$C$4</c:f>
              <c:numCache>
                <c:formatCode>_-[$$-409]* #\ ##0.00_ ;_-[$$-409]* \-#\ ##0.00\ ;_-[$$-409]* "-"??_ ;_-@_ </c:formatCode>
                <c:ptCount val="2"/>
                <c:pt idx="0">
                  <c:v>1.1830625186235677</c:v>
                </c:pt>
                <c:pt idx="1">
                  <c:v>0.63369275977349526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1-6BC0-4A83-959D-DF71CC0C46DA}"/>
            </c:ext>
          </c:extLst>
        </c:ser>
        <c:dLbls>
          <c:showLegendKey val="0"/>
          <c:showVal val="0"/>
          <c:showCatName val="0"/>
          <c:showSerName val="0"/>
          <c:showPercent val="0"/>
          <c:showBubbleSize val="0"/>
        </c:dLbls>
        <c:gapWidth val="150"/>
        <c:overlap val="100"/>
        <c:axId val="1709925003"/>
        <c:axId val="954534987"/>
      </c:barChart>
      <c:catAx>
        <c:axId val="1709925003"/>
        <c:scaling>
          <c:orientation val="maxMin"/>
        </c:scaling>
        <c:delete val="0"/>
        <c:axPos val="l"/>
        <c:numFmt formatCode="General" sourceLinked="1"/>
        <c:majorTickMark val="none"/>
        <c:minorTickMark val="none"/>
        <c:tickLblPos val="nextTo"/>
        <c:txPr>
          <a:bodyPr/>
          <a:lstStyle/>
          <a:p>
            <a:pPr lvl="0">
              <a:defRPr sz="900" b="0" i="0">
                <a:solidFill>
                  <a:srgbClr val="000000"/>
                </a:solidFill>
                <a:latin typeface="+mn-lt"/>
              </a:defRPr>
            </a:pPr>
            <a:endParaRPr lang="en-RW"/>
          </a:p>
        </c:txPr>
        <c:crossAx val="954534987"/>
        <c:crosses val="autoZero"/>
        <c:auto val="1"/>
        <c:lblAlgn val="ctr"/>
        <c:lblOffset val="100"/>
        <c:noMultiLvlLbl val="1"/>
      </c:catAx>
      <c:valAx>
        <c:axId val="954534987"/>
        <c:scaling>
          <c:orientation val="minMax"/>
        </c:scaling>
        <c:delete val="0"/>
        <c:axPos val="b"/>
        <c:title>
          <c:tx>
            <c:rich>
              <a:bodyPr/>
              <a:lstStyle/>
              <a:p>
                <a:pPr lvl="0">
                  <a:defRPr b="0">
                    <a:solidFill>
                      <a:srgbClr val="000000"/>
                    </a:solidFill>
                    <a:latin typeface="+mn-lt"/>
                  </a:defRPr>
                </a:pPr>
                <a:r>
                  <a:rPr lang="en-ZA"/>
                  <a:t>None</a:t>
                </a:r>
              </a:p>
            </c:rich>
          </c:tx>
          <c:overlay val="0"/>
        </c:title>
        <c:numFmt formatCode="_-[$$-409]* #\ ##0.00_ ;_-[$$-409]* \-#\ ##0.00\ ;_-[$$-409]* &quot;-&quot;??_ ;_-@_ " sourceLinked="1"/>
        <c:majorTickMark val="none"/>
        <c:minorTickMark val="none"/>
        <c:tickLblPos val="nextTo"/>
        <c:spPr>
          <a:ln>
            <a:prstDash val="solid"/>
          </a:ln>
        </c:spPr>
        <c:txPr>
          <a:bodyPr/>
          <a:lstStyle/>
          <a:p>
            <a:pPr lvl="0">
              <a:defRPr sz="900" b="0" i="0">
                <a:solidFill>
                  <a:srgbClr val="000000"/>
                </a:solidFill>
                <a:latin typeface="+mn-lt"/>
              </a:defRPr>
            </a:pPr>
            <a:endParaRPr lang="en-RW"/>
          </a:p>
        </c:txPr>
        <c:crossAx val="1709925003"/>
        <c:crosses val="max"/>
        <c:crossBetween val="between"/>
      </c:valAx>
    </c:plotArea>
    <c:legend>
      <c:legendPos val="b"/>
      <c:overlay val="0"/>
      <c:txPr>
        <a:bodyPr/>
        <a:lstStyle/>
        <a:p>
          <a:pPr lvl="0">
            <a:defRPr sz="900" b="0" i="0">
              <a:solidFill>
                <a:srgbClr val="1A1A1A"/>
              </a:solidFill>
              <a:latin typeface="+mn-lt"/>
            </a:defRPr>
          </a:pPr>
          <a:endParaRPr lang="en-RW"/>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0" i="0">
                <a:solidFill>
                  <a:srgbClr val="757575"/>
                </a:solidFill>
                <a:latin typeface="+mn-lt"/>
              </a:defRPr>
            </a:pPr>
            <a:r>
              <a:rPr lang="en-US" sz="1600" b="0" i="0">
                <a:solidFill>
                  <a:srgbClr val="757575"/>
                </a:solidFill>
                <a:latin typeface="+mn-lt"/>
              </a:rPr>
              <a:t>TCO over 10 years</a:t>
            </a:r>
          </a:p>
        </c:rich>
      </c:tx>
      <c:overlay val="0"/>
    </c:title>
    <c:autoTitleDeleted val="0"/>
    <c:plotArea>
      <c:layout/>
      <c:barChart>
        <c:barDir val="col"/>
        <c:grouping val="stacked"/>
        <c:varyColors val="1"/>
        <c:ser>
          <c:idx val="0"/>
          <c:order val="0"/>
          <c:tx>
            <c:v>CAPEX: Buses (M USD)</c:v>
          </c:tx>
          <c:spPr>
            <a:solidFill>
              <a:srgbClr val="156082"/>
            </a:solidFill>
            <a:ln cmpd="sng">
              <a:solidFill>
                <a:srgbClr val="000000"/>
              </a:solidFill>
              <a:prstDash val="solid"/>
            </a:ln>
          </c:spPr>
          <c:invertIfNegative val="1"/>
          <c:dLbls>
            <c:spPr>
              <a:noFill/>
              <a:ln>
                <a:noFill/>
                <a:prstDash val="solid"/>
              </a:ln>
            </c:spPr>
            <c:txPr>
              <a:bodyPr/>
              <a:lstStyle/>
              <a:p>
                <a:pPr lvl="0">
                  <a:defRPr b="0" i="0"/>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Comparison'!$B$3:$C$3</c:f>
              <c:numCache>
                <c:formatCode>_-[$$-409]* #\ ##0.00_ ;_-[$$-409]* \-#\ ##0.00\ ;_-[$$-409]* "-"??_ ;_-@_ </c:formatCode>
                <c:ptCount val="2"/>
                <c:pt idx="0">
                  <c:v>9.2689874624715074</c:v>
                </c:pt>
                <c:pt idx="1">
                  <c:v>16.649048698486141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493D-4FF7-8C47-1D4D39B768B2}"/>
            </c:ext>
          </c:extLst>
        </c:ser>
        <c:ser>
          <c:idx val="1"/>
          <c:order val="1"/>
          <c:tx>
            <c:v>CAPEX: Infrastructure (M USD)</c:v>
          </c:tx>
          <c:spPr>
            <a:solidFill>
              <a:srgbClr val="E97132"/>
            </a:solidFill>
            <a:ln cmpd="sng">
              <a:solidFill>
                <a:srgbClr val="000000"/>
              </a:solidFill>
              <a:prstDash val="solid"/>
            </a:ln>
          </c:spPr>
          <c:invertIfNegative val="1"/>
          <c:dLbls>
            <c:spPr>
              <a:noFill/>
              <a:ln>
                <a:noFill/>
                <a:prstDash val="solid"/>
              </a:ln>
            </c:spPr>
            <c:txPr>
              <a:bodyPr/>
              <a:lstStyle/>
              <a:p>
                <a:pPr lvl="0">
                  <a:defRPr b="0" i="0"/>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Comparison'!$B$4:$C$4</c:f>
              <c:numCache>
                <c:formatCode>_-[$$-409]* #\ ##0.00_ ;_-[$$-409]* \-#\ ##0.00\ ;_-[$$-409]* "-"??_ ;_-@_ </c:formatCode>
                <c:ptCount val="2"/>
                <c:pt idx="0">
                  <c:v>1.1830625186235677</c:v>
                </c:pt>
                <c:pt idx="1">
                  <c:v>0.63369275977349526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1-493D-4FF7-8C47-1D4D39B768B2}"/>
            </c:ext>
          </c:extLst>
        </c:ser>
        <c:ser>
          <c:idx val="2"/>
          <c:order val="2"/>
          <c:tx>
            <c:v>OPEX: Energy (M USD)</c:v>
          </c:tx>
          <c:spPr>
            <a:solidFill>
              <a:srgbClr val="196B24"/>
            </a:solidFill>
            <a:ln cmpd="sng">
              <a:solidFill>
                <a:srgbClr val="000000"/>
              </a:solidFill>
              <a:prstDash val="solid"/>
            </a:ln>
          </c:spPr>
          <c:invertIfNegative val="1"/>
          <c:dLbls>
            <c:spPr>
              <a:noFill/>
              <a:ln>
                <a:noFill/>
                <a:prstDash val="solid"/>
              </a:ln>
            </c:spPr>
            <c:txPr>
              <a:bodyPr/>
              <a:lstStyle/>
              <a:p>
                <a:pPr lvl="0">
                  <a:defRPr b="0" i="0"/>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Comparison'!$B$5:$C$5</c:f>
              <c:numCache>
                <c:formatCode>_-[$$-409]* #\ ##0.00_ ;_-[$$-409]* \-#\ ##0.00\ ;_-[$$-409]* "-"??_ ;_-@_ </c:formatCode>
                <c:ptCount val="2"/>
                <c:pt idx="0">
                  <c:v>17.174395288452807</c:v>
                </c:pt>
                <c:pt idx="1">
                  <c:v>3.3855852417118197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2-493D-4FF7-8C47-1D4D39B768B2}"/>
            </c:ext>
          </c:extLst>
        </c:ser>
        <c:ser>
          <c:idx val="3"/>
          <c:order val="3"/>
          <c:tx>
            <c:v>OPEX: Maintenance (M USD)</c:v>
          </c:tx>
          <c:spPr>
            <a:solidFill>
              <a:srgbClr val="0F9ED5"/>
            </a:solidFill>
            <a:ln cmpd="sng">
              <a:solidFill>
                <a:srgbClr val="000000"/>
              </a:solidFill>
              <a:prstDash val="solid"/>
            </a:ln>
          </c:spPr>
          <c:invertIfNegative val="1"/>
          <c:dLbls>
            <c:spPr>
              <a:noFill/>
              <a:ln>
                <a:noFill/>
                <a:prstDash val="solid"/>
              </a:ln>
            </c:spPr>
            <c:txPr>
              <a:bodyPr/>
              <a:lstStyle/>
              <a:p>
                <a:pPr lvl="0">
                  <a:defRPr b="0" i="0"/>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Comparison'!$B$6:$C$6</c:f>
              <c:numCache>
                <c:formatCode>_-[$$-409]* #\ ##0.00_ ;_-[$$-409]* \-#\ ##0.00\ ;_-[$$-409]* "-"??_ ;_-@_ </c:formatCode>
                <c:ptCount val="2"/>
                <c:pt idx="0">
                  <c:v>14.043778675901951</c:v>
                </c:pt>
                <c:pt idx="1">
                  <c:v>11.941711106073868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3-493D-4FF7-8C47-1D4D39B768B2}"/>
            </c:ext>
          </c:extLst>
        </c:ser>
        <c:ser>
          <c:idx val="4"/>
          <c:order val="4"/>
          <c:tx>
            <c:v>Depot lease</c:v>
          </c:tx>
          <c:spPr>
            <a:solidFill>
              <a:srgbClr val="A02B93"/>
            </a:solidFill>
            <a:ln cmpd="sng">
              <a:solidFill>
                <a:srgbClr val="000000"/>
              </a:solidFill>
              <a:prstDash val="solid"/>
            </a:ln>
          </c:spPr>
          <c:invertIfNegative val="1"/>
          <c:dLbls>
            <c:spPr>
              <a:noFill/>
              <a:ln>
                <a:noFill/>
                <a:prstDash val="solid"/>
              </a:ln>
            </c:spPr>
            <c:txPr>
              <a:bodyPr/>
              <a:lstStyle/>
              <a:p>
                <a:pPr lvl="0">
                  <a:defRPr b="1" i="0"/>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Comparison'!$B$7:$C$7</c:f>
              <c:numCache>
                <c:formatCode>_-[$$-409]* #\ ##0.000_ ;_-[$$-409]* \-#\ ##0.000\ ;_-[$$-409]* "-"??.000_ ;_-@_ </c:formatCode>
                <c:ptCount val="2"/>
                <c:pt idx="0" formatCode="_-[$$-409]* #\ ##0.00_ ;_-[$$-409]* \-#\ ##0.00\ ;_-[$$-409]* &quot;-&quot;??_ ;_-@_ ">
                  <c:v>0</c:v>
                </c:pt>
                <c:pt idx="1">
                  <c:v>2.3911565512738187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4-493D-4FF7-8C47-1D4D39B768B2}"/>
            </c:ext>
          </c:extLst>
        </c:ser>
        <c:dLbls>
          <c:showLegendKey val="0"/>
          <c:showVal val="0"/>
          <c:showCatName val="0"/>
          <c:showSerName val="0"/>
          <c:showPercent val="0"/>
          <c:showBubbleSize val="0"/>
        </c:dLbls>
        <c:gapWidth val="150"/>
        <c:overlap val="100"/>
        <c:axId val="198547158"/>
        <c:axId val="1286392744"/>
      </c:barChart>
      <c:catAx>
        <c:axId val="198547158"/>
        <c:scaling>
          <c:orientation val="minMax"/>
        </c:scaling>
        <c:delete val="0"/>
        <c:axPos val="b"/>
        <c:title>
          <c:tx>
            <c:rich>
              <a:bodyPr/>
              <a:lstStyle/>
              <a:p>
                <a:pPr lvl="0">
                  <a:defRPr b="0" i="0">
                    <a:solidFill>
                      <a:srgbClr val="000000"/>
                    </a:solidFill>
                    <a:latin typeface="+mn-lt"/>
                  </a:defRPr>
                </a:pPr>
                <a:r>
                  <a:rPr lang="en-US" b="0" i="0">
                    <a:solidFill>
                      <a:srgbClr val="000000"/>
                    </a:solidFill>
                    <a:latin typeface="+mn-lt"/>
                  </a:rPr>
                  <a:t>10 year total costs</a:t>
                </a: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RW"/>
          </a:p>
        </c:txPr>
        <c:crossAx val="1286392744"/>
        <c:crosses val="autoZero"/>
        <c:auto val="1"/>
        <c:lblAlgn val="ctr"/>
        <c:lblOffset val="100"/>
        <c:noMultiLvlLbl val="1"/>
      </c:catAx>
      <c:valAx>
        <c:axId val="1286392744"/>
        <c:scaling>
          <c:orientation val="minMax"/>
        </c:scaling>
        <c:delete val="0"/>
        <c:axPos val="l"/>
        <c:numFmt formatCode="_-[$$-409]* #\ ##0.00_ ;_-[$$-409]* \-#\ ##0.00\ ;_-[$$-409]* &quot;-&quot;??_ ;_-@_ " sourceLinked="1"/>
        <c:majorTickMark val="none"/>
        <c:minorTickMark val="none"/>
        <c:tickLblPos val="nextTo"/>
        <c:spPr>
          <a:ln>
            <a:prstDash val="solid"/>
          </a:ln>
        </c:spPr>
        <c:txPr>
          <a:bodyPr/>
          <a:lstStyle/>
          <a:p>
            <a:pPr lvl="0">
              <a:defRPr b="0" i="0">
                <a:solidFill>
                  <a:srgbClr val="000000"/>
                </a:solidFill>
                <a:latin typeface="+mn-lt"/>
              </a:defRPr>
            </a:pPr>
            <a:endParaRPr lang="en-RW"/>
          </a:p>
        </c:txPr>
        <c:crossAx val="198547158"/>
        <c:crosses val="autoZero"/>
        <c:crossBetween val="between"/>
      </c:valAx>
    </c:plotArea>
    <c:legend>
      <c:legendPos val="b"/>
      <c:overlay val="0"/>
      <c:txPr>
        <a:bodyPr/>
        <a:lstStyle/>
        <a:p>
          <a:pPr lvl="0">
            <a:defRPr b="0" i="0">
              <a:solidFill>
                <a:srgbClr val="1A1A1A"/>
              </a:solidFill>
              <a:latin typeface="+mn-lt"/>
            </a:defRPr>
          </a:pPr>
          <a:endParaRPr lang="en-RW"/>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OPEX over 10 Years</a:t>
            </a:r>
          </a:p>
        </c:rich>
      </c:tx>
      <c:overlay val="0"/>
    </c:title>
    <c:autoTitleDeleted val="0"/>
    <c:plotArea>
      <c:layout/>
      <c:barChart>
        <c:barDir val="bar"/>
        <c:grouping val="stacked"/>
        <c:varyColors val="1"/>
        <c:ser>
          <c:idx val="0"/>
          <c:order val="0"/>
          <c:tx>
            <c:v>OPEX: Energy (M USD)</c:v>
          </c:tx>
          <c:spPr>
            <a:solidFill>
              <a:srgbClr val="156082"/>
            </a:solidFill>
            <a:ln cmpd="sng">
              <a:solidFill>
                <a:srgbClr val="000000"/>
              </a:solidFill>
              <a:prstDash val="solid"/>
            </a:ln>
          </c:spPr>
          <c:invertIfNegative val="1"/>
          <c:dLbls>
            <c:spPr>
              <a:noFill/>
              <a:ln>
                <a:noFill/>
                <a:prstDash val="solid"/>
              </a:ln>
            </c:spPr>
            <c:txPr>
              <a:bodyPr/>
              <a:lstStyle/>
              <a:p>
                <a:pPr lvl="0">
                  <a:defRPr sz="900" b="0" i="0">
                    <a:latin typeface="+mn-lt"/>
                  </a:defRPr>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Comparison'!$B$5:$C$5</c:f>
              <c:numCache>
                <c:formatCode>_-[$$-409]* #\ ##0.00_ ;_-[$$-409]* \-#\ ##0.00\ ;_-[$$-409]* "-"??_ ;_-@_ </c:formatCode>
                <c:ptCount val="2"/>
                <c:pt idx="0">
                  <c:v>17.174395288452807</c:v>
                </c:pt>
                <c:pt idx="1">
                  <c:v>3.3855852417118197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998D-4172-BF32-21EEAAD018E8}"/>
            </c:ext>
          </c:extLst>
        </c:ser>
        <c:ser>
          <c:idx val="1"/>
          <c:order val="1"/>
          <c:tx>
            <c:v>OPEX: Maintenance (M USD)</c:v>
          </c:tx>
          <c:spPr>
            <a:solidFill>
              <a:srgbClr val="E97132"/>
            </a:solidFill>
            <a:ln cmpd="sng">
              <a:solidFill>
                <a:srgbClr val="000000"/>
              </a:solidFill>
              <a:prstDash val="solid"/>
            </a:ln>
          </c:spPr>
          <c:invertIfNegative val="1"/>
          <c:dLbls>
            <c:spPr>
              <a:noFill/>
              <a:ln>
                <a:noFill/>
                <a:prstDash val="solid"/>
              </a:ln>
            </c:spPr>
            <c:txPr>
              <a:bodyPr/>
              <a:lstStyle/>
              <a:p>
                <a:pPr lvl="0">
                  <a:defRPr sz="900" b="0" i="0">
                    <a:latin typeface="+mn-lt"/>
                  </a:defRPr>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Comparison'!$B$6:$C$6</c:f>
              <c:numCache>
                <c:formatCode>_-[$$-409]* #\ ##0.00_ ;_-[$$-409]* \-#\ ##0.00\ ;_-[$$-409]* "-"??_ ;_-@_ </c:formatCode>
                <c:ptCount val="2"/>
                <c:pt idx="0">
                  <c:v>14.043778675901951</c:v>
                </c:pt>
                <c:pt idx="1">
                  <c:v>11.941711106073868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1-998D-4172-BF32-21EEAAD018E8}"/>
            </c:ext>
          </c:extLst>
        </c:ser>
        <c:ser>
          <c:idx val="2"/>
          <c:order val="2"/>
          <c:tx>
            <c:v>Depot lease</c:v>
          </c:tx>
          <c:spPr>
            <a:solidFill>
              <a:srgbClr val="196B24"/>
            </a:solidFill>
            <a:ln cmpd="sng">
              <a:solidFill>
                <a:srgbClr val="000000"/>
              </a:solidFill>
              <a:prstDash val="solid"/>
            </a:ln>
          </c:spPr>
          <c:invertIfNegative val="1"/>
          <c:dLbls>
            <c:spPr>
              <a:noFill/>
              <a:ln>
                <a:noFill/>
                <a:prstDash val="solid"/>
              </a:ln>
            </c:spPr>
            <c:txPr>
              <a:bodyPr/>
              <a:lstStyle/>
              <a:p>
                <a:pPr lvl="0">
                  <a:defRPr sz="900" b="0" i="0">
                    <a:latin typeface="+mn-lt"/>
                  </a:defRPr>
                </a:pPr>
                <a:endParaRPr lang="en-R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'Cost Comparison'!$B$2:$C$2</c:f>
              <c:strCache>
                <c:ptCount val="2"/>
                <c:pt idx="0">
                  <c:v>Diesel MBT</c:v>
                </c:pt>
                <c:pt idx="1">
                  <c:v>Electric MBT</c:v>
                </c:pt>
              </c:strCache>
            </c:strRef>
          </c:cat>
          <c:val>
            <c:numRef>
              <c:f>'Cost Comparison'!$B$7:$C$7</c:f>
              <c:numCache>
                <c:formatCode>_-[$$-409]* #\ ##0.000_ ;_-[$$-409]* \-#\ ##0.000\ ;_-[$$-409]* "-"??.000_ ;_-@_ </c:formatCode>
                <c:ptCount val="2"/>
                <c:pt idx="0" formatCode="_-[$$-409]* #\ ##0.00_ ;_-[$$-409]* \-#\ ##0.00\ ;_-[$$-409]* &quot;-&quot;??_ ;_-@_ ">
                  <c:v>0</c:v>
                </c:pt>
                <c:pt idx="1">
                  <c:v>2.3911565512738187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2-998D-4172-BF32-21EEAAD018E8}"/>
            </c:ext>
          </c:extLst>
        </c:ser>
        <c:dLbls>
          <c:showLegendKey val="0"/>
          <c:showVal val="0"/>
          <c:showCatName val="0"/>
          <c:showSerName val="0"/>
          <c:showPercent val="0"/>
          <c:showBubbleSize val="0"/>
        </c:dLbls>
        <c:gapWidth val="150"/>
        <c:overlap val="100"/>
        <c:axId val="2044533350"/>
        <c:axId val="337098008"/>
      </c:barChart>
      <c:catAx>
        <c:axId val="2044533350"/>
        <c:scaling>
          <c:orientation val="maxMin"/>
        </c:scaling>
        <c:delete val="0"/>
        <c:axPos val="l"/>
        <c:numFmt formatCode="General" sourceLinked="1"/>
        <c:majorTickMark val="none"/>
        <c:minorTickMark val="none"/>
        <c:tickLblPos val="nextTo"/>
        <c:txPr>
          <a:bodyPr/>
          <a:lstStyle/>
          <a:p>
            <a:pPr lvl="0">
              <a:defRPr sz="900" b="0" i="0">
                <a:solidFill>
                  <a:srgbClr val="000000"/>
                </a:solidFill>
                <a:latin typeface="+mn-lt"/>
              </a:defRPr>
            </a:pPr>
            <a:endParaRPr lang="en-RW"/>
          </a:p>
        </c:txPr>
        <c:crossAx val="337098008"/>
        <c:crosses val="autoZero"/>
        <c:auto val="1"/>
        <c:lblAlgn val="ctr"/>
        <c:lblOffset val="100"/>
        <c:noMultiLvlLbl val="1"/>
      </c:catAx>
      <c:valAx>
        <c:axId val="337098008"/>
        <c:scaling>
          <c:orientation val="minMax"/>
        </c:scaling>
        <c:delete val="0"/>
        <c:axPos val="b"/>
        <c:title>
          <c:tx>
            <c:rich>
              <a:bodyPr/>
              <a:lstStyle/>
              <a:p>
                <a:pPr lvl="0">
                  <a:defRPr b="0">
                    <a:solidFill>
                      <a:srgbClr val="000000"/>
                    </a:solidFill>
                    <a:latin typeface="+mn-lt"/>
                  </a:defRPr>
                </a:pPr>
                <a:r>
                  <a:rPr lang="en-ZA"/>
                  <a:t>None</a:t>
                </a:r>
              </a:p>
            </c:rich>
          </c:tx>
          <c:overlay val="0"/>
        </c:title>
        <c:numFmt formatCode="_-[$$-409]* #\ ##0.00_ ;_-[$$-409]* \-#\ ##0.00\ ;_-[$$-409]* &quot;-&quot;??_ ;_-@_ " sourceLinked="1"/>
        <c:majorTickMark val="none"/>
        <c:minorTickMark val="none"/>
        <c:tickLblPos val="nextTo"/>
        <c:spPr>
          <a:ln>
            <a:prstDash val="solid"/>
          </a:ln>
        </c:spPr>
        <c:txPr>
          <a:bodyPr/>
          <a:lstStyle/>
          <a:p>
            <a:pPr lvl="0">
              <a:defRPr sz="900" b="0" i="0">
                <a:solidFill>
                  <a:srgbClr val="000000"/>
                </a:solidFill>
                <a:latin typeface="+mn-lt"/>
              </a:defRPr>
            </a:pPr>
            <a:endParaRPr lang="en-RW"/>
          </a:p>
        </c:txPr>
        <c:crossAx val="2044533350"/>
        <c:crosses val="max"/>
        <c:crossBetween val="between"/>
      </c:valAx>
    </c:plotArea>
    <c:legend>
      <c:legendPos val="b"/>
      <c:overlay val="0"/>
      <c:txPr>
        <a:bodyPr/>
        <a:lstStyle/>
        <a:p>
          <a:pPr lvl="0">
            <a:defRPr sz="900" b="0" i="0">
              <a:solidFill>
                <a:srgbClr val="1A1A1A"/>
              </a:solidFill>
              <a:latin typeface="+mn-lt"/>
            </a:defRPr>
          </a:pPr>
          <a:endParaRPr lang="en-RW"/>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TCO</a:t>
            </a:r>
            <a:r>
              <a:rPr lang="en-ZA" baseline="0"/>
              <a:t> over 10 Years (Incentives)</a:t>
            </a:r>
            <a:endParaRPr lang="en-Z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ZA"/>
        </a:p>
      </c:txPr>
    </c:title>
    <c:autoTitleDeleted val="0"/>
    <c:plotArea>
      <c:layout/>
      <c:barChart>
        <c:barDir val="col"/>
        <c:grouping val="stacked"/>
        <c:varyColors val="0"/>
        <c:ser>
          <c:idx val="0"/>
          <c:order val="0"/>
          <c:tx>
            <c:strRef>
              <c:f>'Cost Comparison'!$A$3</c:f>
              <c:strCache>
                <c:ptCount val="1"/>
                <c:pt idx="0">
                  <c:v>CAPEX: Minibuses (M Local Currency)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Comparison'!$B$2,'Cost Comparison'!$D$2)</c:f>
              <c:strCache>
                <c:ptCount val="2"/>
                <c:pt idx="0">
                  <c:v>Diesel MBT</c:v>
                </c:pt>
                <c:pt idx="1">
                  <c:v>Electric MBT (with incentives)</c:v>
                </c:pt>
              </c:strCache>
            </c:strRef>
          </c:cat>
          <c:val>
            <c:numRef>
              <c:f>('Cost Comparison'!$B$3,'Cost Comparison'!$D$3)</c:f>
              <c:numCache>
                <c:formatCode>_-[$$-409]* #\ ##0.00_ ;_-[$$-409]* \-#\ ##0.00\ ;_-[$$-409]* "-"??_ ;_-@_ </c:formatCode>
                <c:ptCount val="2"/>
                <c:pt idx="0">
                  <c:v>9.2689874624715074</c:v>
                </c:pt>
                <c:pt idx="1">
                  <c:v>15.459830934308558</c:v>
                </c:pt>
              </c:numCache>
            </c:numRef>
          </c:val>
          <c:extLst>
            <c:ext xmlns:c16="http://schemas.microsoft.com/office/drawing/2014/chart" uri="{C3380CC4-5D6E-409C-BE32-E72D297353CC}">
              <c16:uniqueId val="{00000000-96D9-45A9-90F0-5DF612FF6E0D}"/>
            </c:ext>
          </c:extLst>
        </c:ser>
        <c:ser>
          <c:idx val="1"/>
          <c:order val="1"/>
          <c:tx>
            <c:strRef>
              <c:f>'Cost Comparison'!$A$4</c:f>
              <c:strCache>
                <c:ptCount val="1"/>
                <c:pt idx="0">
                  <c:v>CAPEX: Infrastructure (M Local Currency)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Comparison'!$B$2,'Cost Comparison'!$D$2)</c:f>
              <c:strCache>
                <c:ptCount val="2"/>
                <c:pt idx="0">
                  <c:v>Diesel MBT</c:v>
                </c:pt>
                <c:pt idx="1">
                  <c:v>Electric MBT (with incentives)</c:v>
                </c:pt>
              </c:strCache>
            </c:strRef>
          </c:cat>
          <c:val>
            <c:numRef>
              <c:f>('Cost Comparison'!$B$4,'Cost Comparison'!$D$4)</c:f>
              <c:numCache>
                <c:formatCode>_-[$$-409]* #\ ##0.00_ ;_-[$$-409]* \-#\ ##0.00\ ;_-[$$-409]* "-"??_ ;_-@_ </c:formatCode>
                <c:ptCount val="2"/>
                <c:pt idx="0">
                  <c:v>1.1830625186235677</c:v>
                </c:pt>
                <c:pt idx="1">
                  <c:v>0.63369275977349526</c:v>
                </c:pt>
              </c:numCache>
            </c:numRef>
          </c:val>
          <c:extLst>
            <c:ext xmlns:c16="http://schemas.microsoft.com/office/drawing/2014/chart" uri="{C3380CC4-5D6E-409C-BE32-E72D297353CC}">
              <c16:uniqueId val="{00000001-96D9-45A9-90F0-5DF612FF6E0D}"/>
            </c:ext>
          </c:extLst>
        </c:ser>
        <c:ser>
          <c:idx val="2"/>
          <c:order val="2"/>
          <c:tx>
            <c:strRef>
              <c:f>'Cost Comparison'!$A$5</c:f>
              <c:strCache>
                <c:ptCount val="1"/>
                <c:pt idx="0">
                  <c:v>OPEX: Energy (M Local Currency)</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Comparison'!$B$2,'Cost Comparison'!$D$2)</c:f>
              <c:strCache>
                <c:ptCount val="2"/>
                <c:pt idx="0">
                  <c:v>Diesel MBT</c:v>
                </c:pt>
                <c:pt idx="1">
                  <c:v>Electric MBT (with incentives)</c:v>
                </c:pt>
              </c:strCache>
            </c:strRef>
          </c:cat>
          <c:val>
            <c:numRef>
              <c:f>('Cost Comparison'!$B$5,'Cost Comparison'!$D$5)</c:f>
              <c:numCache>
                <c:formatCode>_-[$$-409]* #\ ##0.00_ ;_-[$$-409]* \-#\ ##0.00\ ;_-[$$-409]* "-"??_ ;_-@_ </c:formatCode>
                <c:ptCount val="2"/>
                <c:pt idx="0">
                  <c:v>17.174395288452807</c:v>
                </c:pt>
                <c:pt idx="1">
                  <c:v>3.3855852417118197</c:v>
                </c:pt>
              </c:numCache>
            </c:numRef>
          </c:val>
          <c:extLst>
            <c:ext xmlns:c16="http://schemas.microsoft.com/office/drawing/2014/chart" uri="{C3380CC4-5D6E-409C-BE32-E72D297353CC}">
              <c16:uniqueId val="{00000002-96D9-45A9-90F0-5DF612FF6E0D}"/>
            </c:ext>
          </c:extLst>
        </c:ser>
        <c:ser>
          <c:idx val="3"/>
          <c:order val="3"/>
          <c:tx>
            <c:strRef>
              <c:f>'Cost Comparison'!$A$6</c:f>
              <c:strCache>
                <c:ptCount val="1"/>
                <c:pt idx="0">
                  <c:v>OPEX: Maintenance (M Local Currency)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Comparison'!$B$2,'Cost Comparison'!$D$2)</c:f>
              <c:strCache>
                <c:ptCount val="2"/>
                <c:pt idx="0">
                  <c:v>Diesel MBT</c:v>
                </c:pt>
                <c:pt idx="1">
                  <c:v>Electric MBT (with incentives)</c:v>
                </c:pt>
              </c:strCache>
            </c:strRef>
          </c:cat>
          <c:val>
            <c:numRef>
              <c:f>('Cost Comparison'!$B$6,'Cost Comparison'!$D$6)</c:f>
              <c:numCache>
                <c:formatCode>_-[$$-409]* #\ ##0.00_ ;_-[$$-409]* \-#\ ##0.00\ ;_-[$$-409]* "-"??_ ;_-@_ </c:formatCode>
                <c:ptCount val="2"/>
                <c:pt idx="0">
                  <c:v>14.043778675901951</c:v>
                </c:pt>
                <c:pt idx="1">
                  <c:v>11.941711106073868</c:v>
                </c:pt>
              </c:numCache>
            </c:numRef>
          </c:val>
          <c:extLst>
            <c:ext xmlns:c16="http://schemas.microsoft.com/office/drawing/2014/chart" uri="{C3380CC4-5D6E-409C-BE32-E72D297353CC}">
              <c16:uniqueId val="{00000003-96D9-45A9-90F0-5DF612FF6E0D}"/>
            </c:ext>
          </c:extLst>
        </c:ser>
        <c:ser>
          <c:idx val="4"/>
          <c:order val="4"/>
          <c:tx>
            <c:strRef>
              <c:f>'Cost Comparison'!$A$7</c:f>
              <c:strCache>
                <c:ptCount val="1"/>
                <c:pt idx="0">
                  <c:v>Depot lease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Comparison'!$B$2,'Cost Comparison'!$D$2)</c:f>
              <c:strCache>
                <c:ptCount val="2"/>
                <c:pt idx="0">
                  <c:v>Diesel MBT</c:v>
                </c:pt>
                <c:pt idx="1">
                  <c:v>Electric MBT (with incentives)</c:v>
                </c:pt>
              </c:strCache>
            </c:strRef>
          </c:cat>
          <c:val>
            <c:numRef>
              <c:f>('Cost Comparison'!$B$7,'Cost Comparison'!$D$7)</c:f>
              <c:numCache>
                <c:formatCode>_-[$$-409]* #\ ##0.000_ ;_-[$$-409]* \-#\ ##0.000\ ;_-[$$-409]* "-"??.000_ ;_-@_ </c:formatCode>
                <c:ptCount val="2"/>
                <c:pt idx="0" formatCode="_-[$$-409]* #\ ##0.00_ ;_-[$$-409]* \-#\ ##0.00\ ;_-[$$-409]* &quot;-&quot;??_ ;_-@_ ">
                  <c:v>0</c:v>
                </c:pt>
                <c:pt idx="1">
                  <c:v>2.3911565512738187</c:v>
                </c:pt>
              </c:numCache>
            </c:numRef>
          </c:val>
          <c:extLst>
            <c:ext xmlns:c16="http://schemas.microsoft.com/office/drawing/2014/chart" uri="{C3380CC4-5D6E-409C-BE32-E72D297353CC}">
              <c16:uniqueId val="{00000004-96D9-45A9-90F0-5DF612FF6E0D}"/>
            </c:ext>
          </c:extLst>
        </c:ser>
        <c:dLbls>
          <c:dLblPos val="ctr"/>
          <c:showLegendKey val="0"/>
          <c:showVal val="1"/>
          <c:showCatName val="0"/>
          <c:showSerName val="0"/>
          <c:showPercent val="0"/>
          <c:showBubbleSize val="0"/>
        </c:dLbls>
        <c:gapWidth val="150"/>
        <c:overlap val="100"/>
        <c:axId val="1480398863"/>
        <c:axId val="1480391663"/>
      </c:barChart>
      <c:catAx>
        <c:axId val="1480398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0391663"/>
        <c:crosses val="autoZero"/>
        <c:auto val="1"/>
        <c:lblAlgn val="ctr"/>
        <c:lblOffset val="100"/>
        <c:noMultiLvlLbl val="0"/>
      </c:catAx>
      <c:valAx>
        <c:axId val="1480391663"/>
        <c:scaling>
          <c:orientation val="minMax"/>
        </c:scaling>
        <c:delete val="0"/>
        <c:axPos val="l"/>
        <c:numFmt formatCode="_-[$$-409]* #\ ##0.00_ ;_-[$$-409]* \-#\ ##0.0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03988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CAPEX</a:t>
            </a:r>
            <a:r>
              <a:rPr lang="en-ZA" baseline="0"/>
              <a:t> over 10 years (Incentives)</a:t>
            </a:r>
            <a:endParaRPr lang="en-Z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ZA"/>
        </a:p>
      </c:txPr>
    </c:title>
    <c:autoTitleDeleted val="0"/>
    <c:plotArea>
      <c:layout/>
      <c:barChart>
        <c:barDir val="bar"/>
        <c:grouping val="stacked"/>
        <c:varyColors val="0"/>
        <c:ser>
          <c:idx val="0"/>
          <c:order val="0"/>
          <c:tx>
            <c:strRef>
              <c:f>'Cost Comparison'!$A$3</c:f>
              <c:strCache>
                <c:ptCount val="1"/>
                <c:pt idx="0">
                  <c:v>CAPEX: Minibuses (M Local Currency)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Comparison'!$B$2,'Cost Comparison'!$D$2)</c:f>
              <c:strCache>
                <c:ptCount val="2"/>
                <c:pt idx="0">
                  <c:v>Diesel MBT</c:v>
                </c:pt>
                <c:pt idx="1">
                  <c:v>Electric MBT (with incentives)</c:v>
                </c:pt>
              </c:strCache>
            </c:strRef>
          </c:cat>
          <c:val>
            <c:numRef>
              <c:f>('Cost Comparison'!$B$3,'Cost Comparison'!$D$3)</c:f>
              <c:numCache>
                <c:formatCode>_-[$$-409]* #\ ##0.00_ ;_-[$$-409]* \-#\ ##0.00\ ;_-[$$-409]* "-"??_ ;_-@_ </c:formatCode>
                <c:ptCount val="2"/>
                <c:pt idx="0">
                  <c:v>9.2689874624715074</c:v>
                </c:pt>
                <c:pt idx="1">
                  <c:v>15.459830934308558</c:v>
                </c:pt>
              </c:numCache>
            </c:numRef>
          </c:val>
          <c:extLst>
            <c:ext xmlns:c16="http://schemas.microsoft.com/office/drawing/2014/chart" uri="{C3380CC4-5D6E-409C-BE32-E72D297353CC}">
              <c16:uniqueId val="{00000000-63FC-4873-9358-817913BB5D42}"/>
            </c:ext>
          </c:extLst>
        </c:ser>
        <c:ser>
          <c:idx val="1"/>
          <c:order val="1"/>
          <c:tx>
            <c:strRef>
              <c:f>'Cost Comparison'!$A$4</c:f>
              <c:strCache>
                <c:ptCount val="1"/>
                <c:pt idx="0">
                  <c:v>CAPEX: Infrastructure (M Local Currency)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Comparison'!$B$2,'Cost Comparison'!$D$2)</c:f>
              <c:strCache>
                <c:ptCount val="2"/>
                <c:pt idx="0">
                  <c:v>Diesel MBT</c:v>
                </c:pt>
                <c:pt idx="1">
                  <c:v>Electric MBT (with incentives)</c:v>
                </c:pt>
              </c:strCache>
            </c:strRef>
          </c:cat>
          <c:val>
            <c:numRef>
              <c:f>('Cost Comparison'!$B$4,'Cost Comparison'!$D$4)</c:f>
              <c:numCache>
                <c:formatCode>_-[$$-409]* #\ ##0.00_ ;_-[$$-409]* \-#\ ##0.00\ ;_-[$$-409]* "-"??_ ;_-@_ </c:formatCode>
                <c:ptCount val="2"/>
                <c:pt idx="0">
                  <c:v>1.1830625186235677</c:v>
                </c:pt>
                <c:pt idx="1">
                  <c:v>0.63369275977349526</c:v>
                </c:pt>
              </c:numCache>
            </c:numRef>
          </c:val>
          <c:extLst>
            <c:ext xmlns:c16="http://schemas.microsoft.com/office/drawing/2014/chart" uri="{C3380CC4-5D6E-409C-BE32-E72D297353CC}">
              <c16:uniqueId val="{00000001-63FC-4873-9358-817913BB5D42}"/>
            </c:ext>
          </c:extLst>
        </c:ser>
        <c:dLbls>
          <c:dLblPos val="ctr"/>
          <c:showLegendKey val="0"/>
          <c:showVal val="1"/>
          <c:showCatName val="0"/>
          <c:showSerName val="0"/>
          <c:showPercent val="0"/>
          <c:showBubbleSize val="0"/>
        </c:dLbls>
        <c:gapWidth val="150"/>
        <c:overlap val="100"/>
        <c:axId val="1020410287"/>
        <c:axId val="1020409327"/>
      </c:barChart>
      <c:catAx>
        <c:axId val="10204102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0409327"/>
        <c:crosses val="autoZero"/>
        <c:auto val="1"/>
        <c:lblAlgn val="ctr"/>
        <c:lblOffset val="100"/>
        <c:noMultiLvlLbl val="0"/>
      </c:catAx>
      <c:valAx>
        <c:axId val="1020409327"/>
        <c:scaling>
          <c:orientation val="minMax"/>
        </c:scaling>
        <c:delete val="0"/>
        <c:axPos val="b"/>
        <c:numFmt formatCode="_-[$$-409]* #\ ##0.00_ ;_-[$$-409]* \-#\ ##0.0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04102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OPEX</a:t>
            </a:r>
            <a:r>
              <a:rPr lang="en-ZA" baseline="0"/>
              <a:t> over 10 years (Incentives)</a:t>
            </a:r>
            <a:endParaRPr lang="en-Z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ZA"/>
        </a:p>
      </c:txPr>
    </c:title>
    <c:autoTitleDeleted val="0"/>
    <c:plotArea>
      <c:layout/>
      <c:barChart>
        <c:barDir val="bar"/>
        <c:grouping val="stacked"/>
        <c:varyColors val="0"/>
        <c:ser>
          <c:idx val="0"/>
          <c:order val="0"/>
          <c:tx>
            <c:strRef>
              <c:f>'Cost Comparison'!$A$5</c:f>
              <c:strCache>
                <c:ptCount val="1"/>
                <c:pt idx="0">
                  <c:v>OPEX: Energy (M Local Currency)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('Cost Comparison'!$B$5,'Cost Comparison'!$D$5)</c:f>
              <c:numCache>
                <c:formatCode>_-[$$-409]* #\ ##0.00_ ;_-[$$-409]* \-#\ ##0.00\ ;_-[$$-409]* "-"??_ ;_-@_ </c:formatCode>
                <c:ptCount val="2"/>
                <c:pt idx="0">
                  <c:v>17.174395288452807</c:v>
                </c:pt>
                <c:pt idx="1">
                  <c:v>3.3855852417118197</c:v>
                </c:pt>
              </c:numCache>
            </c:numRef>
          </c:val>
          <c:extLst>
            <c:ext xmlns:c16="http://schemas.microsoft.com/office/drawing/2014/chart" uri="{C3380CC4-5D6E-409C-BE32-E72D297353CC}">
              <c16:uniqueId val="{00000000-36E7-4AAF-80F0-BCFF23D59842}"/>
            </c:ext>
          </c:extLst>
        </c:ser>
        <c:ser>
          <c:idx val="1"/>
          <c:order val="1"/>
          <c:tx>
            <c:strRef>
              <c:f>'Cost Comparison'!$A$6</c:f>
              <c:strCache>
                <c:ptCount val="1"/>
                <c:pt idx="0">
                  <c:v>OPEX: Maintenance (M Local Currency)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('Cost Comparison'!$B$6,'Cost Comparison'!$D$6)</c:f>
              <c:numCache>
                <c:formatCode>_-[$$-409]* #\ ##0.00_ ;_-[$$-409]* \-#\ ##0.00\ ;_-[$$-409]* "-"??_ ;_-@_ </c:formatCode>
                <c:ptCount val="2"/>
                <c:pt idx="0">
                  <c:v>14.043778675901951</c:v>
                </c:pt>
                <c:pt idx="1">
                  <c:v>11.941711106073868</c:v>
                </c:pt>
              </c:numCache>
            </c:numRef>
          </c:val>
          <c:extLst>
            <c:ext xmlns:c16="http://schemas.microsoft.com/office/drawing/2014/chart" uri="{C3380CC4-5D6E-409C-BE32-E72D297353CC}">
              <c16:uniqueId val="{00000001-36E7-4AAF-80F0-BCFF23D59842}"/>
            </c:ext>
          </c:extLst>
        </c:ser>
        <c:ser>
          <c:idx val="2"/>
          <c:order val="2"/>
          <c:tx>
            <c:strRef>
              <c:f>'Cost Comparison'!$A$7</c:f>
              <c:strCache>
                <c:ptCount val="1"/>
                <c:pt idx="0">
                  <c:v>Depot lease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('Cost Comparison'!$B$7,'Cost Comparison'!$D$7)</c:f>
              <c:numCache>
                <c:formatCode>_-[$$-409]* #\ ##0.000_ ;_-[$$-409]* \-#\ ##0.000\ ;_-[$$-409]* "-"??.000_ ;_-@_ </c:formatCode>
                <c:ptCount val="2"/>
                <c:pt idx="0" formatCode="_-[$$-409]* #\ ##0.00_ ;_-[$$-409]* \-#\ ##0.00\ ;_-[$$-409]* &quot;-&quot;??_ ;_-@_ ">
                  <c:v>0</c:v>
                </c:pt>
                <c:pt idx="1">
                  <c:v>2.3911565512738187</c:v>
                </c:pt>
              </c:numCache>
            </c:numRef>
          </c:val>
          <c:extLst>
            <c:ext xmlns:c16="http://schemas.microsoft.com/office/drawing/2014/chart" uri="{C3380CC4-5D6E-409C-BE32-E72D297353CC}">
              <c16:uniqueId val="{00000002-36E7-4AAF-80F0-BCFF23D59842}"/>
            </c:ext>
          </c:extLst>
        </c:ser>
        <c:dLbls>
          <c:dLblPos val="ctr"/>
          <c:showLegendKey val="0"/>
          <c:showVal val="1"/>
          <c:showCatName val="0"/>
          <c:showSerName val="0"/>
          <c:showPercent val="0"/>
          <c:showBubbleSize val="0"/>
        </c:dLbls>
        <c:gapWidth val="150"/>
        <c:overlap val="100"/>
        <c:axId val="1020412687"/>
        <c:axId val="1020402607"/>
      </c:barChart>
      <c:catAx>
        <c:axId val="102041268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0402607"/>
        <c:crosses val="autoZero"/>
        <c:auto val="1"/>
        <c:lblAlgn val="ctr"/>
        <c:lblOffset val="100"/>
        <c:noMultiLvlLbl val="0"/>
      </c:catAx>
      <c:valAx>
        <c:axId val="1020402607"/>
        <c:scaling>
          <c:orientation val="minMax"/>
        </c:scaling>
        <c:delete val="0"/>
        <c:axPos val="t"/>
        <c:numFmt formatCode="_-[$$-409]* #\ ##0.00_ ;_-[$$-409]* \-#\ ##0.0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0412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Breakeven Point</a:t>
            </a:r>
          </a:p>
        </c:rich>
      </c:tx>
      <c:overlay val="0"/>
    </c:title>
    <c:autoTitleDeleted val="0"/>
    <c:plotArea>
      <c:layout/>
      <c:barChart>
        <c:barDir val="col"/>
        <c:grouping val="clustered"/>
        <c:varyColors val="1"/>
        <c:ser>
          <c:idx val="0"/>
          <c:order val="0"/>
          <c:tx>
            <c:v>ICE MBT</c:v>
          </c:tx>
          <c:spPr>
            <a:solidFill>
              <a:srgbClr val="156082"/>
            </a:solidFill>
            <a:ln cmpd="sng">
              <a:solidFill>
                <a:srgbClr val="000000"/>
              </a:solidFill>
              <a:prstDash val="solid"/>
            </a:ln>
          </c:spPr>
          <c:invertIfNegative val="1"/>
          <c:cat>
            <c:strRef>
              <c:f>'Breakeven point'!$B$9:$L$9</c:f>
              <c:strCache>
                <c:ptCount val="11"/>
                <c:pt idx="0">
                  <c:v>Year 0</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f>'Breakeven point'!$B$10:$L$10</c:f>
              <c:numCache>
                <c:formatCode>_-[$$-409]* #\ ##0.00_ ;_-[$$-409]* \-#\ ##0.00\ ;_-[$$-409]* "-"??_ ;_-@_ </c:formatCode>
                <c:ptCount val="11"/>
                <c:pt idx="0">
                  <c:v>1500000</c:v>
                </c:pt>
                <c:pt idx="1">
                  <c:v>4965412.0547132809</c:v>
                </c:pt>
                <c:pt idx="2">
                  <c:v>8562318.2323322222</c:v>
                </c:pt>
                <c:pt idx="3">
                  <c:v>12298948.789574914</c:v>
                </c:pt>
                <c:pt idx="4">
                  <c:v>16184025.917228028</c:v>
                </c:pt>
                <c:pt idx="5">
                  <c:v>20226793.648700628</c:v>
                </c:pt>
                <c:pt idx="6">
                  <c:v>24437049.580182217</c:v>
                </c:pt>
                <c:pt idx="7">
                  <c:v>28825178.512481626</c:v>
                </c:pt>
                <c:pt idx="8">
                  <c:v>33402188.13131769</c:v>
                </c:pt>
                <c:pt idx="9">
                  <c:v>38179746.849934623</c:v>
                </c:pt>
                <c:pt idx="10">
                  <c:v>43170223.945449829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8FC0-4530-A5D9-49BF29E72A52}"/>
            </c:ext>
          </c:extLst>
        </c:ser>
        <c:ser>
          <c:idx val="1"/>
          <c:order val="1"/>
          <c:tx>
            <c:strRef>
              <c:f>'Breakeven point'!$A$11</c:f>
              <c:strCache>
                <c:ptCount val="1"/>
                <c:pt idx="0">
                  <c:v>e-MBT</c:v>
                </c:pt>
              </c:strCache>
            </c:strRef>
          </c:tx>
          <c:spPr>
            <a:solidFill>
              <a:srgbClr val="E97132"/>
            </a:solidFill>
            <a:ln cmpd="sng">
              <a:solidFill>
                <a:srgbClr val="000000"/>
              </a:solidFill>
              <a:prstDash val="solid"/>
            </a:ln>
          </c:spPr>
          <c:invertIfNegative val="1"/>
          <c:cat>
            <c:strRef>
              <c:f>'Breakeven point'!$B$9:$L$9</c:f>
              <c:strCache>
                <c:ptCount val="11"/>
                <c:pt idx="0">
                  <c:v>Year 0</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f>'Breakeven point'!$B$11:$L$11</c:f>
              <c:numCache>
                <c:formatCode>_-[$$-409]* #\ ##0.00_ ;_-[$$-409]* \-#\ ##0.00\ ;_-[$$-409]* "-"??_ ;_-@_ </c:formatCode>
                <c:ptCount val="11"/>
                <c:pt idx="0">
                  <c:v>3900000</c:v>
                </c:pt>
                <c:pt idx="1">
                  <c:v>6965122.5176976789</c:v>
                </c:pt>
                <c:pt idx="2">
                  <c:v>10075637.786316542</c:v>
                </c:pt>
                <c:pt idx="3">
                  <c:v>13234926.576111993</c:v>
                </c:pt>
                <c:pt idx="4">
                  <c:v>16446557.606673945</c:v>
                </c:pt>
                <c:pt idx="5">
                  <c:v>19714299.449959151</c:v>
                </c:pt>
                <c:pt idx="6">
                  <c:v>23042133.168813296</c:v>
                </c:pt>
                <c:pt idx="7">
                  <c:v>26434265.737212017</c:v>
                </c:pt>
                <c:pt idx="8">
                  <c:v>29895144.291352805</c:v>
                </c:pt>
                <c:pt idx="9">
                  <c:v>33429471.263815068</c:v>
                </c:pt>
                <c:pt idx="10">
                  <c:v>37042220.45628541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1-8FC0-4530-A5D9-49BF29E72A52}"/>
            </c:ext>
          </c:extLst>
        </c:ser>
        <c:dLbls>
          <c:showLegendKey val="0"/>
          <c:showVal val="0"/>
          <c:showCatName val="0"/>
          <c:showSerName val="0"/>
          <c:showPercent val="0"/>
          <c:showBubbleSize val="0"/>
        </c:dLbls>
        <c:gapWidth val="150"/>
        <c:axId val="1911402223"/>
        <c:axId val="339233719"/>
      </c:barChart>
      <c:catAx>
        <c:axId val="1911402223"/>
        <c:scaling>
          <c:orientation val="minMax"/>
        </c:scaling>
        <c:delete val="0"/>
        <c:axPos val="b"/>
        <c:title>
          <c:tx>
            <c:rich>
              <a:bodyPr/>
              <a:lstStyle/>
              <a:p>
                <a:pPr lvl="0">
                  <a:defRPr b="0">
                    <a:solidFill>
                      <a:srgbClr val="000000"/>
                    </a:solidFill>
                    <a:latin typeface="+mn-lt"/>
                  </a:defRPr>
                </a:pPr>
                <a:r>
                  <a:rPr lang="en-ZA"/>
                  <a:t>None</a:t>
                </a: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RW"/>
          </a:p>
        </c:txPr>
        <c:crossAx val="339233719"/>
        <c:crosses val="autoZero"/>
        <c:auto val="1"/>
        <c:lblAlgn val="ctr"/>
        <c:lblOffset val="100"/>
        <c:noMultiLvlLbl val="1"/>
      </c:catAx>
      <c:valAx>
        <c:axId val="339233719"/>
        <c:scaling>
          <c:orientation val="minMax"/>
        </c:scaling>
        <c:delete val="0"/>
        <c:axPos val="l"/>
        <c:title>
          <c:tx>
            <c:rich>
              <a:bodyPr/>
              <a:lstStyle/>
              <a:p>
                <a:pPr lvl="0">
                  <a:defRPr b="0">
                    <a:solidFill>
                      <a:srgbClr val="000000"/>
                    </a:solidFill>
                    <a:latin typeface="+mn-lt"/>
                  </a:defRPr>
                </a:pPr>
                <a:r>
                  <a:rPr lang="en-ZA"/>
                  <a:t>None</a:t>
                </a:r>
              </a:p>
            </c:rich>
          </c:tx>
          <c:overlay val="0"/>
        </c:title>
        <c:numFmt formatCode="General" sourceLinked="0"/>
        <c:majorTickMark val="none"/>
        <c:minorTickMark val="none"/>
        <c:tickLblPos val="nextTo"/>
        <c:spPr>
          <a:ln>
            <a:prstDash val="solid"/>
          </a:ln>
        </c:spPr>
        <c:txPr>
          <a:bodyPr/>
          <a:lstStyle/>
          <a:p>
            <a:pPr lvl="0">
              <a:defRPr sz="900" b="0" i="0">
                <a:solidFill>
                  <a:srgbClr val="000000"/>
                </a:solidFill>
                <a:latin typeface="+mn-lt"/>
              </a:defRPr>
            </a:pPr>
            <a:endParaRPr lang="en-RW"/>
          </a:p>
        </c:txPr>
        <c:crossAx val="1911402223"/>
        <c:crosses val="autoZero"/>
        <c:crossBetween val="between"/>
      </c:valAx>
    </c:plotArea>
    <c:legend>
      <c:legendPos val="b"/>
      <c:overlay val="0"/>
      <c:txPr>
        <a:bodyPr/>
        <a:lstStyle/>
        <a:p>
          <a:pPr lvl="0">
            <a:defRPr sz="900" b="0" i="0">
              <a:solidFill>
                <a:srgbClr val="1A1A1A"/>
              </a:solidFill>
              <a:latin typeface="+mn-lt"/>
            </a:defRPr>
          </a:pPr>
          <a:endParaRPr lang="en-RW"/>
        </a:p>
      </c:txPr>
    </c:legend>
    <c:plotVisOnly val="1"/>
    <c:dispBlanksAs val="zero"/>
    <c:showDLblsOverMax val="1"/>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12</xdr:col>
      <xdr:colOff>9525</xdr:colOff>
      <xdr:row>11</xdr:row>
      <xdr:rowOff>114300</xdr:rowOff>
    </xdr:from>
    <xdr:ext cx="5010150" cy="283845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323850</xdr:colOff>
      <xdr:row>11</xdr:row>
      <xdr:rowOff>76200</xdr:rowOff>
    </xdr:from>
    <xdr:ext cx="5715000" cy="3533775"/>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5</xdr:col>
      <xdr:colOff>228600</xdr:colOff>
      <xdr:row>11</xdr:row>
      <xdr:rowOff>123825</xdr:rowOff>
    </xdr:from>
    <xdr:ext cx="5076825" cy="2828925"/>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0</xdr:col>
      <xdr:colOff>304800</xdr:colOff>
      <xdr:row>33</xdr:row>
      <xdr:rowOff>3810</xdr:rowOff>
    </xdr:from>
    <xdr:to>
      <xdr:col>3</xdr:col>
      <xdr:colOff>655320</xdr:colOff>
      <xdr:row>53</xdr:row>
      <xdr:rowOff>106680</xdr:rowOff>
    </xdr:to>
    <xdr:graphicFrame macro="">
      <xdr:nvGraphicFramePr>
        <xdr:cNvPr id="5" name="Chart 4">
          <a:extLst>
            <a:ext uri="{FF2B5EF4-FFF2-40B4-BE49-F238E27FC236}">
              <a16:creationId xmlns:a16="http://schemas.microsoft.com/office/drawing/2014/main" id="{808A9794-9D51-4F26-A397-5B0F7A023D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30480</xdr:colOff>
      <xdr:row>28</xdr:row>
      <xdr:rowOff>171450</xdr:rowOff>
    </xdr:from>
    <xdr:to>
      <xdr:col>17</xdr:col>
      <xdr:colOff>739140</xdr:colOff>
      <xdr:row>46</xdr:row>
      <xdr:rowOff>91440</xdr:rowOff>
    </xdr:to>
    <xdr:graphicFrame macro="">
      <xdr:nvGraphicFramePr>
        <xdr:cNvPr id="7" name="Chart 6">
          <a:extLst>
            <a:ext uri="{FF2B5EF4-FFF2-40B4-BE49-F238E27FC236}">
              <a16:creationId xmlns:a16="http://schemas.microsoft.com/office/drawing/2014/main" id="{1B550157-C16A-756E-A67C-28D1C9BBD0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525780</xdr:colOff>
      <xdr:row>29</xdr:row>
      <xdr:rowOff>26670</xdr:rowOff>
    </xdr:from>
    <xdr:to>
      <xdr:col>11</xdr:col>
      <xdr:colOff>411480</xdr:colOff>
      <xdr:row>48</xdr:row>
      <xdr:rowOff>76200</xdr:rowOff>
    </xdr:to>
    <xdr:graphicFrame macro="">
      <xdr:nvGraphicFramePr>
        <xdr:cNvPr id="8" name="Chart 7">
          <a:extLst>
            <a:ext uri="{FF2B5EF4-FFF2-40B4-BE49-F238E27FC236}">
              <a16:creationId xmlns:a16="http://schemas.microsoft.com/office/drawing/2014/main" id="{3C0A57B5-3106-39CE-1C0D-FE590774C8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5</xdr:col>
      <xdr:colOff>628650</xdr:colOff>
      <xdr:row>14</xdr:row>
      <xdr:rowOff>95250</xdr:rowOff>
    </xdr:from>
    <xdr:ext cx="5133975" cy="283845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8"/>
  <sheetViews>
    <sheetView tabSelected="1" workbookViewId="0">
      <selection activeCell="A17" sqref="A17:F17"/>
    </sheetView>
  </sheetViews>
  <sheetFormatPr defaultColWidth="12.5546875" defaultRowHeight="15" customHeight="1" x14ac:dyDescent="0.3"/>
  <cols>
    <col min="6" max="6" width="82.44140625" customWidth="1"/>
  </cols>
  <sheetData>
    <row r="1" spans="1:6" ht="14.4" x14ac:dyDescent="0.3">
      <c r="A1" s="72"/>
      <c r="B1" s="70"/>
      <c r="C1" s="70"/>
      <c r="D1" s="70"/>
      <c r="E1" s="70"/>
      <c r="F1" s="70"/>
    </row>
    <row r="2" spans="1:6" ht="14.4" x14ac:dyDescent="0.3">
      <c r="A2" s="71" t="s">
        <v>67</v>
      </c>
      <c r="B2" s="70"/>
      <c r="C2" s="70"/>
      <c r="D2" s="70"/>
      <c r="E2" s="70"/>
      <c r="F2" s="70"/>
    </row>
    <row r="3" spans="1:6" ht="15" customHeight="1" x14ac:dyDescent="0.3">
      <c r="A3" s="70"/>
      <c r="B3" s="70"/>
      <c r="C3" s="70"/>
      <c r="D3" s="70"/>
      <c r="E3" s="70"/>
      <c r="F3" s="70"/>
    </row>
    <row r="4" spans="1:6" ht="14.4" x14ac:dyDescent="0.3">
      <c r="A4" s="1"/>
      <c r="B4" s="1"/>
      <c r="C4" s="1"/>
      <c r="D4" s="1"/>
      <c r="E4" s="1"/>
      <c r="F4" s="1"/>
    </row>
    <row r="5" spans="1:6" ht="15.75" customHeight="1" x14ac:dyDescent="0.3">
      <c r="A5" s="87" t="s">
        <v>68</v>
      </c>
      <c r="B5" s="88"/>
      <c r="C5" s="88"/>
      <c r="D5" s="88"/>
      <c r="E5" s="88"/>
      <c r="F5" s="88"/>
    </row>
    <row r="6" spans="1:6" ht="68.25" customHeight="1" x14ac:dyDescent="0.3">
      <c r="A6" s="73" t="s">
        <v>69</v>
      </c>
      <c r="B6" s="70"/>
      <c r="C6" s="70"/>
      <c r="D6" s="70"/>
      <c r="E6" s="70"/>
      <c r="F6" s="70"/>
    </row>
    <row r="7" spans="1:6" ht="14.4" x14ac:dyDescent="0.3">
      <c r="A7" s="1"/>
      <c r="B7" s="1"/>
      <c r="C7" s="1"/>
      <c r="D7" s="1"/>
      <c r="E7" s="1"/>
      <c r="F7" s="1"/>
    </row>
    <row r="8" spans="1:6" ht="15.75" customHeight="1" x14ac:dyDescent="0.3">
      <c r="A8" s="87" t="s">
        <v>70</v>
      </c>
      <c r="B8" s="88"/>
      <c r="C8" s="88"/>
      <c r="D8" s="88"/>
      <c r="E8" s="88"/>
      <c r="F8" s="88"/>
    </row>
    <row r="9" spans="1:6" ht="150" customHeight="1" x14ac:dyDescent="0.3">
      <c r="A9" s="73" t="s">
        <v>71</v>
      </c>
      <c r="B9" s="84"/>
      <c r="C9" s="84"/>
      <c r="D9" s="84"/>
      <c r="E9" s="84"/>
      <c r="F9" s="84"/>
    </row>
    <row r="10" spans="1:6" ht="14.4" x14ac:dyDescent="0.3">
      <c r="A10" s="1"/>
      <c r="B10" s="1"/>
      <c r="C10" s="1"/>
      <c r="D10" s="1"/>
      <c r="E10" s="1"/>
      <c r="F10" s="1"/>
    </row>
    <row r="11" spans="1:6" ht="15.75" customHeight="1" x14ac:dyDescent="0.3">
      <c r="A11" s="85" t="s">
        <v>72</v>
      </c>
      <c r="B11" s="86"/>
      <c r="C11" s="86"/>
      <c r="D11" s="86"/>
      <c r="E11" s="86"/>
      <c r="F11" s="86"/>
    </row>
    <row r="12" spans="1:6" ht="132.6" customHeight="1" x14ac:dyDescent="0.3">
      <c r="A12" s="73" t="s">
        <v>73</v>
      </c>
      <c r="B12" s="70"/>
      <c r="C12" s="70"/>
      <c r="D12" s="70"/>
      <c r="E12" s="70"/>
      <c r="F12" s="70"/>
    </row>
    <row r="13" spans="1:6" ht="14.4" x14ac:dyDescent="0.3">
      <c r="A13" s="1"/>
      <c r="B13" s="1"/>
      <c r="C13" s="1"/>
      <c r="D13" s="1"/>
      <c r="E13" s="1"/>
      <c r="F13" s="1"/>
    </row>
    <row r="14" spans="1:6" ht="15.75" customHeight="1" x14ac:dyDescent="0.3">
      <c r="A14" s="87" t="s">
        <v>74</v>
      </c>
      <c r="B14" s="88"/>
      <c r="C14" s="88"/>
      <c r="D14" s="88"/>
      <c r="E14" s="88"/>
      <c r="F14" s="88"/>
    </row>
    <row r="15" spans="1:6" ht="122.25" customHeight="1" x14ac:dyDescent="0.3">
      <c r="A15" s="73" t="s">
        <v>75</v>
      </c>
      <c r="B15" s="70"/>
      <c r="C15" s="70"/>
      <c r="D15" s="70"/>
      <c r="E15" s="70"/>
      <c r="F15" s="70"/>
    </row>
    <row r="16" spans="1:6" ht="14.4" x14ac:dyDescent="0.3">
      <c r="A16" s="1"/>
      <c r="B16" s="1"/>
      <c r="C16" s="1"/>
      <c r="D16" s="1"/>
      <c r="E16" s="1"/>
      <c r="F16" s="1"/>
    </row>
    <row r="17" spans="1:6" ht="15.75" customHeight="1" x14ac:dyDescent="0.3">
      <c r="A17" s="87" t="s">
        <v>76</v>
      </c>
      <c r="B17" s="88"/>
      <c r="C17" s="88"/>
      <c r="D17" s="88"/>
      <c r="E17" s="88"/>
      <c r="F17" s="88"/>
    </row>
    <row r="18" spans="1:6" ht="135" customHeight="1" x14ac:dyDescent="0.3">
      <c r="A18" s="73" t="s">
        <v>77</v>
      </c>
      <c r="B18" s="84"/>
      <c r="C18" s="84"/>
      <c r="D18" s="84"/>
      <c r="E18" s="84"/>
      <c r="F18" s="84"/>
    </row>
  </sheetData>
  <mergeCells count="12">
    <mergeCell ref="A17:F17"/>
    <mergeCell ref="A18:F18"/>
    <mergeCell ref="A12:F12"/>
    <mergeCell ref="A15:F15"/>
    <mergeCell ref="A11:F11"/>
    <mergeCell ref="A2:F3"/>
    <mergeCell ref="A14:F14"/>
    <mergeCell ref="A1:F1"/>
    <mergeCell ref="A5:F5"/>
    <mergeCell ref="A9:F9"/>
    <mergeCell ref="A8:F8"/>
    <mergeCell ref="A6:F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G30"/>
  <sheetViews>
    <sheetView workbookViewId="0"/>
  </sheetViews>
  <sheetFormatPr defaultColWidth="12.5546875" defaultRowHeight="15" customHeight="1" x14ac:dyDescent="0.3"/>
  <cols>
    <col min="1" max="1" width="32.109375" customWidth="1"/>
    <col min="2" max="2" width="40.109375" customWidth="1"/>
    <col min="3" max="3" width="70.6640625" customWidth="1"/>
    <col min="4" max="4" width="107.33203125" customWidth="1"/>
    <col min="5" max="5" width="55.109375" customWidth="1"/>
    <col min="6" max="6" width="53.44140625" customWidth="1"/>
    <col min="7" max="7" width="127.6640625" customWidth="1"/>
  </cols>
  <sheetData>
    <row r="1" spans="1:7" x14ac:dyDescent="0.3">
      <c r="A1" s="63" t="s">
        <v>380</v>
      </c>
      <c r="B1" s="63" t="s">
        <v>170</v>
      </c>
      <c r="C1" s="63" t="s">
        <v>381</v>
      </c>
      <c r="D1" s="63" t="s">
        <v>382</v>
      </c>
      <c r="E1" s="63" t="s">
        <v>383</v>
      </c>
      <c r="F1" s="63" t="s">
        <v>384</v>
      </c>
      <c r="G1" s="63" t="s">
        <v>385</v>
      </c>
    </row>
    <row r="2" spans="1:7" x14ac:dyDescent="0.3">
      <c r="A2" s="64" t="s">
        <v>386</v>
      </c>
      <c r="B2" s="64"/>
      <c r="C2" s="64"/>
      <c r="D2" s="64"/>
      <c r="E2" s="64"/>
      <c r="F2" s="64"/>
      <c r="G2" s="64"/>
    </row>
    <row r="3" spans="1:7" x14ac:dyDescent="0.3">
      <c r="A3" s="65"/>
      <c r="B3" s="65" t="s">
        <v>387</v>
      </c>
      <c r="C3" s="65" t="s">
        <v>388</v>
      </c>
      <c r="D3" s="65" t="s">
        <v>389</v>
      </c>
      <c r="E3" s="65" t="s">
        <v>390</v>
      </c>
      <c r="F3" s="65" t="s">
        <v>391</v>
      </c>
      <c r="G3" s="65" t="s">
        <v>392</v>
      </c>
    </row>
    <row r="4" spans="1:7" x14ac:dyDescent="0.3">
      <c r="A4" s="65"/>
      <c r="B4" s="65" t="s">
        <v>393</v>
      </c>
      <c r="C4" s="65" t="s">
        <v>394</v>
      </c>
      <c r="D4" s="65" t="s">
        <v>395</v>
      </c>
      <c r="E4" s="65" t="s">
        <v>396</v>
      </c>
      <c r="F4" s="65" t="s">
        <v>397</v>
      </c>
      <c r="G4" s="65" t="s">
        <v>398</v>
      </c>
    </row>
    <row r="5" spans="1:7" x14ac:dyDescent="0.3">
      <c r="A5" s="65"/>
      <c r="B5" s="65" t="s">
        <v>399</v>
      </c>
      <c r="C5" s="65" t="s">
        <v>400</v>
      </c>
      <c r="D5" s="65" t="s">
        <v>401</v>
      </c>
      <c r="E5" s="65" t="s">
        <v>402</v>
      </c>
      <c r="F5" s="65" t="s">
        <v>403</v>
      </c>
      <c r="G5" s="65" t="s">
        <v>404</v>
      </c>
    </row>
    <row r="6" spans="1:7" x14ac:dyDescent="0.3">
      <c r="A6" s="65"/>
      <c r="B6" s="65" t="s">
        <v>405</v>
      </c>
      <c r="C6" s="65" t="s">
        <v>406</v>
      </c>
      <c r="D6" s="65" t="s">
        <v>407</v>
      </c>
      <c r="E6" s="65" t="s">
        <v>408</v>
      </c>
      <c r="F6" s="65" t="s">
        <v>409</v>
      </c>
      <c r="G6" s="65" t="s">
        <v>410</v>
      </c>
    </row>
    <row r="7" spans="1:7" x14ac:dyDescent="0.3">
      <c r="A7" s="65"/>
      <c r="B7" s="65" t="s">
        <v>411</v>
      </c>
      <c r="C7" s="65" t="s">
        <v>412</v>
      </c>
      <c r="D7" s="65" t="s">
        <v>413</v>
      </c>
      <c r="E7" s="65" t="s">
        <v>414</v>
      </c>
      <c r="F7" s="65" t="s">
        <v>415</v>
      </c>
      <c r="G7" s="65" t="s">
        <v>416</v>
      </c>
    </row>
    <row r="8" spans="1:7" x14ac:dyDescent="0.3">
      <c r="A8" s="64" t="s">
        <v>417</v>
      </c>
      <c r="B8" s="64"/>
      <c r="C8" s="64"/>
      <c r="D8" s="64"/>
      <c r="E8" s="64"/>
      <c r="F8" s="64"/>
      <c r="G8" s="64"/>
    </row>
    <row r="9" spans="1:7" x14ac:dyDescent="0.3">
      <c r="A9" s="65"/>
      <c r="B9" s="65" t="s">
        <v>418</v>
      </c>
      <c r="C9" s="65" t="s">
        <v>419</v>
      </c>
      <c r="D9" s="65" t="s">
        <v>420</v>
      </c>
      <c r="E9" s="65" t="s">
        <v>421</v>
      </c>
      <c r="F9" s="65" t="s">
        <v>422</v>
      </c>
      <c r="G9" s="65" t="s">
        <v>423</v>
      </c>
    </row>
    <row r="10" spans="1:7" x14ac:dyDescent="0.3">
      <c r="A10" s="65"/>
      <c r="B10" s="65" t="s">
        <v>424</v>
      </c>
      <c r="C10" s="65" t="s">
        <v>425</v>
      </c>
      <c r="D10" s="65" t="s">
        <v>426</v>
      </c>
      <c r="E10" s="65" t="s">
        <v>427</v>
      </c>
      <c r="F10" s="65" t="s">
        <v>428</v>
      </c>
      <c r="G10" s="65" t="s">
        <v>429</v>
      </c>
    </row>
    <row r="11" spans="1:7" x14ac:dyDescent="0.3">
      <c r="A11" s="65"/>
      <c r="B11" s="65" t="s">
        <v>430</v>
      </c>
      <c r="C11" s="65" t="s">
        <v>431</v>
      </c>
      <c r="D11" s="65" t="s">
        <v>432</v>
      </c>
      <c r="E11" s="65" t="s">
        <v>433</v>
      </c>
      <c r="F11" s="65" t="s">
        <v>434</v>
      </c>
      <c r="G11" s="65" t="s">
        <v>435</v>
      </c>
    </row>
    <row r="12" spans="1:7" x14ac:dyDescent="0.3">
      <c r="A12" s="65"/>
      <c r="B12" s="65" t="s">
        <v>436</v>
      </c>
      <c r="C12" s="65" t="s">
        <v>437</v>
      </c>
      <c r="D12" s="65" t="s">
        <v>438</v>
      </c>
      <c r="E12" s="65" t="s">
        <v>439</v>
      </c>
      <c r="F12" s="65" t="s">
        <v>440</v>
      </c>
      <c r="G12" s="65" t="s">
        <v>441</v>
      </c>
    </row>
    <row r="13" spans="1:7" x14ac:dyDescent="0.3">
      <c r="A13" s="65"/>
      <c r="B13" s="65" t="s">
        <v>442</v>
      </c>
      <c r="C13" s="65" t="s">
        <v>443</v>
      </c>
      <c r="D13" s="65" t="s">
        <v>444</v>
      </c>
      <c r="E13" s="65" t="s">
        <v>445</v>
      </c>
      <c r="F13" s="65" t="s">
        <v>446</v>
      </c>
      <c r="G13" s="65" t="s">
        <v>447</v>
      </c>
    </row>
    <row r="14" spans="1:7" x14ac:dyDescent="0.3">
      <c r="A14" s="64" t="s">
        <v>448</v>
      </c>
      <c r="B14" s="64"/>
      <c r="C14" s="64"/>
      <c r="D14" s="64"/>
      <c r="E14" s="64"/>
      <c r="F14" s="64"/>
      <c r="G14" s="64"/>
    </row>
    <row r="15" spans="1:7" x14ac:dyDescent="0.3">
      <c r="A15" s="65"/>
      <c r="B15" s="65" t="s">
        <v>449</v>
      </c>
      <c r="C15" s="65" t="s">
        <v>450</v>
      </c>
      <c r="D15" s="65" t="s">
        <v>451</v>
      </c>
      <c r="E15" s="65" t="s">
        <v>452</v>
      </c>
      <c r="F15" s="65" t="s">
        <v>453</v>
      </c>
      <c r="G15" s="65" t="s">
        <v>454</v>
      </c>
    </row>
    <row r="16" spans="1:7" x14ac:dyDescent="0.3">
      <c r="A16" s="65"/>
      <c r="B16" s="65" t="s">
        <v>455</v>
      </c>
      <c r="C16" s="65" t="s">
        <v>456</v>
      </c>
      <c r="D16" s="65" t="s">
        <v>457</v>
      </c>
      <c r="E16" s="65" t="s">
        <v>458</v>
      </c>
      <c r="F16" s="65" t="s">
        <v>459</v>
      </c>
      <c r="G16" s="65" t="s">
        <v>460</v>
      </c>
    </row>
    <row r="17" spans="1:7" x14ac:dyDescent="0.3">
      <c r="A17" s="64" t="s">
        <v>461</v>
      </c>
      <c r="B17" s="64"/>
      <c r="C17" s="64"/>
      <c r="D17" s="64"/>
      <c r="E17" s="64"/>
      <c r="F17" s="64"/>
      <c r="G17" s="64"/>
    </row>
    <row r="18" spans="1:7" x14ac:dyDescent="0.3">
      <c r="A18" s="65"/>
      <c r="B18" s="65" t="s">
        <v>462</v>
      </c>
      <c r="C18" s="65" t="s">
        <v>463</v>
      </c>
      <c r="D18" s="65" t="s">
        <v>464</v>
      </c>
      <c r="E18" s="65" t="s">
        <v>465</v>
      </c>
      <c r="F18" s="65" t="s">
        <v>466</v>
      </c>
      <c r="G18" s="65" t="s">
        <v>467</v>
      </c>
    </row>
    <row r="19" spans="1:7" x14ac:dyDescent="0.3">
      <c r="A19" s="65"/>
      <c r="B19" s="65" t="s">
        <v>468</v>
      </c>
      <c r="C19" s="65" t="s">
        <v>469</v>
      </c>
      <c r="D19" s="65" t="s">
        <v>470</v>
      </c>
      <c r="E19" s="65" t="s">
        <v>471</v>
      </c>
      <c r="F19" s="65" t="s">
        <v>472</v>
      </c>
      <c r="G19" s="65" t="s">
        <v>473</v>
      </c>
    </row>
    <row r="20" spans="1:7" x14ac:dyDescent="0.3">
      <c r="A20" s="65"/>
      <c r="B20" s="65" t="s">
        <v>474</v>
      </c>
      <c r="C20" s="65" t="s">
        <v>475</v>
      </c>
      <c r="D20" s="65" t="s">
        <v>476</v>
      </c>
      <c r="E20" s="65" t="s">
        <v>477</v>
      </c>
      <c r="F20" s="65" t="s">
        <v>478</v>
      </c>
      <c r="G20" s="65" t="s">
        <v>479</v>
      </c>
    </row>
    <row r="21" spans="1:7" x14ac:dyDescent="0.3">
      <c r="A21" s="65"/>
      <c r="B21" s="65" t="s">
        <v>480</v>
      </c>
      <c r="C21" s="65" t="s">
        <v>481</v>
      </c>
      <c r="D21" s="65" t="s">
        <v>482</v>
      </c>
      <c r="E21" s="65" t="s">
        <v>483</v>
      </c>
      <c r="F21" s="65" t="s">
        <v>484</v>
      </c>
      <c r="G21" s="65" t="s">
        <v>485</v>
      </c>
    </row>
    <row r="22" spans="1:7" x14ac:dyDescent="0.3">
      <c r="A22" s="65"/>
      <c r="B22" s="65" t="s">
        <v>486</v>
      </c>
      <c r="C22" s="65" t="s">
        <v>487</v>
      </c>
      <c r="D22" s="65" t="s">
        <v>488</v>
      </c>
      <c r="E22" s="65" t="s">
        <v>489</v>
      </c>
      <c r="F22" s="65" t="s">
        <v>490</v>
      </c>
      <c r="G22" s="65" t="s">
        <v>491</v>
      </c>
    </row>
    <row r="23" spans="1:7" x14ac:dyDescent="0.3">
      <c r="A23" s="65"/>
      <c r="B23" s="65" t="s">
        <v>492</v>
      </c>
      <c r="C23" s="65" t="s">
        <v>493</v>
      </c>
      <c r="D23" s="65" t="s">
        <v>494</v>
      </c>
      <c r="E23" s="65" t="s">
        <v>495</v>
      </c>
      <c r="F23" s="65" t="s">
        <v>496</v>
      </c>
      <c r="G23" s="65" t="s">
        <v>497</v>
      </c>
    </row>
    <row r="24" spans="1:7" x14ac:dyDescent="0.3">
      <c r="A24" s="64" t="s">
        <v>498</v>
      </c>
      <c r="B24" s="64"/>
      <c r="C24" s="64"/>
      <c r="D24" s="64"/>
      <c r="E24" s="64"/>
      <c r="F24" s="64"/>
      <c r="G24" s="64"/>
    </row>
    <row r="25" spans="1:7" x14ac:dyDescent="0.3">
      <c r="A25" s="65"/>
      <c r="B25" s="65" t="s">
        <v>499</v>
      </c>
      <c r="C25" s="65" t="s">
        <v>500</v>
      </c>
      <c r="D25" s="65" t="s">
        <v>501</v>
      </c>
      <c r="E25" s="65" t="s">
        <v>502</v>
      </c>
      <c r="F25" s="65" t="s">
        <v>503</v>
      </c>
      <c r="G25" s="65" t="s">
        <v>504</v>
      </c>
    </row>
    <row r="26" spans="1:7" x14ac:dyDescent="0.3">
      <c r="A26" s="65"/>
      <c r="B26" s="65" t="s">
        <v>505</v>
      </c>
      <c r="C26" s="65" t="s">
        <v>506</v>
      </c>
      <c r="D26" s="65" t="s">
        <v>507</v>
      </c>
      <c r="E26" s="65" t="s">
        <v>508</v>
      </c>
      <c r="F26" s="65" t="s">
        <v>509</v>
      </c>
      <c r="G26" s="65" t="s">
        <v>510</v>
      </c>
    </row>
    <row r="27" spans="1:7" x14ac:dyDescent="0.3">
      <c r="A27" s="64" t="s">
        <v>511</v>
      </c>
      <c r="B27" s="64"/>
      <c r="C27" s="64"/>
      <c r="D27" s="64"/>
      <c r="E27" s="64"/>
      <c r="F27" s="64"/>
      <c r="G27" s="64"/>
    </row>
    <row r="28" spans="1:7" x14ac:dyDescent="0.3">
      <c r="A28" s="65"/>
      <c r="B28" s="65" t="s">
        <v>512</v>
      </c>
      <c r="C28" s="65" t="s">
        <v>513</v>
      </c>
      <c r="D28" s="65" t="s">
        <v>514</v>
      </c>
      <c r="E28" s="65" t="s">
        <v>515</v>
      </c>
      <c r="F28" s="65" t="s">
        <v>516</v>
      </c>
      <c r="G28" s="65" t="s">
        <v>517</v>
      </c>
    </row>
    <row r="29" spans="1:7" x14ac:dyDescent="0.3">
      <c r="A29" s="65"/>
      <c r="B29" s="65" t="s">
        <v>518</v>
      </c>
      <c r="C29" s="65" t="s">
        <v>519</v>
      </c>
      <c r="D29" s="65" t="s">
        <v>520</v>
      </c>
      <c r="E29" s="65" t="s">
        <v>515</v>
      </c>
      <c r="F29" s="65" t="s">
        <v>516</v>
      </c>
      <c r="G29" s="65" t="s">
        <v>521</v>
      </c>
    </row>
    <row r="30" spans="1:7" x14ac:dyDescent="0.3">
      <c r="A30" s="65"/>
      <c r="B30" s="65" t="s">
        <v>522</v>
      </c>
      <c r="C30" s="65" t="s">
        <v>523</v>
      </c>
      <c r="D30" s="65" t="s">
        <v>524</v>
      </c>
      <c r="E30" s="65" t="s">
        <v>515</v>
      </c>
      <c r="F30" s="65" t="s">
        <v>516</v>
      </c>
      <c r="G30" s="65" t="s">
        <v>525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defaultColWidth="12.5546875" defaultRowHeight="15" customHeight="1" x14ac:dyDescent="0.3"/>
  <cols>
    <col min="1" max="1" width="35.33203125" customWidth="1"/>
    <col min="2" max="2" width="14" customWidth="1"/>
    <col min="3" max="3" width="23" customWidth="1"/>
    <col min="4" max="4" width="80.44140625" customWidth="1"/>
    <col min="5" max="11" width="14" customWidth="1"/>
    <col min="12" max="12" width="15.6640625" customWidth="1"/>
    <col min="13" max="13" width="14.44140625" customWidth="1"/>
  </cols>
  <sheetData>
    <row r="1" spans="1:4" ht="14.25" customHeight="1" x14ac:dyDescent="0.3">
      <c r="A1" s="3" t="s">
        <v>108</v>
      </c>
      <c r="B1" s="3"/>
      <c r="C1" s="3"/>
      <c r="D1" s="26"/>
    </row>
    <row r="2" spans="1:4" ht="14.25" customHeight="1" x14ac:dyDescent="0.3">
      <c r="A2" s="5" t="s">
        <v>290</v>
      </c>
      <c r="B2" s="9">
        <f>'Basic Inputs'!C3</f>
        <v>140000</v>
      </c>
      <c r="C2" s="8"/>
      <c r="D2" s="28" t="s">
        <v>291</v>
      </c>
    </row>
    <row r="3" spans="1:4" ht="14.25" customHeight="1" x14ac:dyDescent="0.3">
      <c r="A3" s="8" t="s">
        <v>217</v>
      </c>
      <c r="B3" s="9">
        <f>'Basic Inputs'!C4</f>
        <v>425213</v>
      </c>
      <c r="C3" s="8"/>
      <c r="D3" s="28" t="s">
        <v>292</v>
      </c>
    </row>
    <row r="4" spans="1:4" ht="14.25" customHeight="1" x14ac:dyDescent="0.3">
      <c r="A4" s="8" t="s">
        <v>219</v>
      </c>
      <c r="B4" s="17">
        <f>'Basic Inputs'!C12</f>
        <v>100</v>
      </c>
      <c r="C4" s="8"/>
      <c r="D4" s="28" t="s">
        <v>220</v>
      </c>
    </row>
    <row r="5" spans="1:4" ht="14.25" customHeight="1" x14ac:dyDescent="0.3">
      <c r="A5" s="8" t="s">
        <v>293</v>
      </c>
      <c r="B5" s="13">
        <v>0.3</v>
      </c>
      <c r="C5" s="8" t="s">
        <v>222</v>
      </c>
      <c r="D5" s="28" t="s">
        <v>223</v>
      </c>
    </row>
    <row r="6" spans="1:4" ht="14.25" customHeight="1" x14ac:dyDescent="0.3">
      <c r="A6" s="8" t="s">
        <v>294</v>
      </c>
      <c r="B6" s="9">
        <f>'Basic Inputs'!B39</f>
        <v>5600</v>
      </c>
      <c r="C6" s="8"/>
      <c r="D6" s="28" t="s">
        <v>295</v>
      </c>
    </row>
    <row r="7" spans="1:4" ht="14.25" customHeight="1" x14ac:dyDescent="0.3">
      <c r="A7" s="8" t="s">
        <v>224</v>
      </c>
      <c r="B7" s="39">
        <v>0.1</v>
      </c>
      <c r="C7" s="11" t="s">
        <v>225</v>
      </c>
      <c r="D7" s="28" t="s">
        <v>226</v>
      </c>
    </row>
    <row r="8" spans="1:4" ht="14.25" customHeight="1" x14ac:dyDescent="0.3">
      <c r="A8" s="8" t="s">
        <v>227</v>
      </c>
      <c r="B8" s="11">
        <v>10</v>
      </c>
      <c r="C8" s="11" t="s">
        <v>225</v>
      </c>
      <c r="D8" s="28" t="s">
        <v>296</v>
      </c>
    </row>
    <row r="9" spans="1:4" ht="14.25" customHeight="1" x14ac:dyDescent="0.3">
      <c r="A9" s="8" t="s">
        <v>229</v>
      </c>
      <c r="B9" s="48">
        <f>'Basic Inputs'!C7</f>
        <v>3.5000000000000003E-2</v>
      </c>
      <c r="C9" s="8"/>
      <c r="D9" s="28" t="s">
        <v>297</v>
      </c>
    </row>
    <row r="10" spans="1:4" ht="14.25" customHeight="1" x14ac:dyDescent="0.3">
      <c r="A10" s="8" t="s">
        <v>298</v>
      </c>
      <c r="B10" s="49">
        <v>0.02</v>
      </c>
      <c r="C10" s="11"/>
      <c r="D10" s="28" t="s">
        <v>299</v>
      </c>
    </row>
    <row r="11" spans="1:4" ht="14.25" customHeight="1" x14ac:dyDescent="0.3">
      <c r="A11" s="8" t="s">
        <v>231</v>
      </c>
      <c r="B11" s="39">
        <f>B7-0.02</f>
        <v>0.08</v>
      </c>
      <c r="C11" s="11" t="s">
        <v>225</v>
      </c>
      <c r="D11" s="28" t="s">
        <v>300</v>
      </c>
    </row>
    <row r="12" spans="1:4" ht="14.25" customHeight="1" x14ac:dyDescent="0.3">
      <c r="A12" s="8" t="s">
        <v>233</v>
      </c>
      <c r="B12" s="11">
        <v>10</v>
      </c>
      <c r="C12" s="11" t="s">
        <v>225</v>
      </c>
      <c r="D12" s="28" t="s">
        <v>234</v>
      </c>
    </row>
    <row r="13" spans="1:4" ht="14.25" customHeight="1" x14ac:dyDescent="0.3">
      <c r="A13" s="40" t="s">
        <v>235</v>
      </c>
      <c r="B13" s="39">
        <v>2.5000000000000001E-3</v>
      </c>
      <c r="C13" s="11" t="s">
        <v>225</v>
      </c>
      <c r="D13" s="50" t="s">
        <v>301</v>
      </c>
    </row>
    <row r="14" spans="1:4" ht="14.25" customHeight="1" x14ac:dyDescent="0.3">
      <c r="A14" s="3" t="s">
        <v>117</v>
      </c>
      <c r="B14" s="3"/>
      <c r="C14" s="3"/>
      <c r="D14" s="51"/>
    </row>
    <row r="15" spans="1:4" ht="14.25" customHeight="1" x14ac:dyDescent="0.3">
      <c r="A15" s="8" t="s">
        <v>237</v>
      </c>
      <c r="B15" s="17">
        <f>'Basic Inputs'!C14</f>
        <v>56112</v>
      </c>
      <c r="C15" s="8"/>
      <c r="D15" s="28" t="s">
        <v>238</v>
      </c>
    </row>
    <row r="16" spans="1:4" ht="14.25" customHeight="1" x14ac:dyDescent="0.3">
      <c r="A16" s="8" t="s">
        <v>302</v>
      </c>
      <c r="B16" s="15">
        <f>'Basic Inputs'!C9</f>
        <v>7.0000000000000007E-2</v>
      </c>
      <c r="C16" s="8"/>
      <c r="D16" s="28" t="s">
        <v>303</v>
      </c>
    </row>
    <row r="17" spans="1:13" ht="14.25" customHeight="1" x14ac:dyDescent="0.3">
      <c r="A17" s="8" t="s">
        <v>304</v>
      </c>
      <c r="B17" s="39">
        <v>0.03</v>
      </c>
      <c r="C17" s="11" t="s">
        <v>225</v>
      </c>
      <c r="D17" s="28" t="s">
        <v>305</v>
      </c>
    </row>
    <row r="18" spans="1:13" ht="14.25" customHeight="1" x14ac:dyDescent="0.3">
      <c r="A18" s="8" t="s">
        <v>306</v>
      </c>
      <c r="B18" s="17">
        <f>'Basic Inputs'!C15</f>
        <v>1.33</v>
      </c>
      <c r="C18" s="8"/>
      <c r="D18" s="28" t="s">
        <v>307</v>
      </c>
    </row>
    <row r="19" spans="1:13" ht="14.25" customHeight="1" x14ac:dyDescent="0.3">
      <c r="A19" s="8" t="s">
        <v>245</v>
      </c>
      <c r="B19" s="15">
        <f>'Basic Inputs'!C10</f>
        <v>9.9000000000000005E-2</v>
      </c>
      <c r="C19" s="8"/>
      <c r="D19" s="28" t="s">
        <v>246</v>
      </c>
    </row>
    <row r="20" spans="1:13" ht="14.25" customHeight="1" x14ac:dyDescent="0.3">
      <c r="A20" s="8" t="s">
        <v>247</v>
      </c>
      <c r="B20" s="41">
        <v>6.3E-2</v>
      </c>
      <c r="C20" s="11" t="s">
        <v>225</v>
      </c>
      <c r="D20" s="28" t="s">
        <v>308</v>
      </c>
    </row>
    <row r="21" spans="1:13" ht="14.25" customHeight="1" x14ac:dyDescent="0.3">
      <c r="D21" s="42"/>
    </row>
    <row r="22" spans="1:13" ht="14.25" customHeight="1" x14ac:dyDescent="0.3">
      <c r="A22" s="3" t="s">
        <v>249</v>
      </c>
      <c r="B22" s="3"/>
      <c r="C22" s="3" t="s">
        <v>250</v>
      </c>
      <c r="D22" s="3"/>
    </row>
    <row r="23" spans="1:13" ht="14.25" customHeight="1" x14ac:dyDescent="0.3">
      <c r="A23" s="8" t="s">
        <v>251</v>
      </c>
      <c r="B23" s="32">
        <f>(B2*B4)-(B2*B4*B5)</f>
        <v>9800000</v>
      </c>
      <c r="C23" s="8" t="s">
        <v>251</v>
      </c>
      <c r="D23" s="32">
        <f>B3</f>
        <v>425213</v>
      </c>
    </row>
    <row r="24" spans="1:13" ht="14.25" customHeight="1" x14ac:dyDescent="0.3">
      <c r="A24" s="8" t="s">
        <v>252</v>
      </c>
      <c r="B24" s="32">
        <f>+-PMT(B7,B8,B23)</f>
        <v>1594904.8698486139</v>
      </c>
      <c r="C24" s="8" t="s">
        <v>253</v>
      </c>
      <c r="D24" s="32">
        <f>+-PMT(B11,B12,D23)</f>
        <v>63369.275977349527</v>
      </c>
    </row>
    <row r="25" spans="1:13" ht="14.25" customHeight="1" x14ac:dyDescent="0.3"/>
    <row r="26" spans="1:13" ht="14.25" customHeight="1" x14ac:dyDescent="0.3">
      <c r="A26" s="3" t="s">
        <v>254</v>
      </c>
      <c r="B26" s="3" t="s">
        <v>255</v>
      </c>
      <c r="C26" s="3" t="s">
        <v>256</v>
      </c>
      <c r="D26" s="3" t="s">
        <v>257</v>
      </c>
      <c r="E26" s="3" t="s">
        <v>258</v>
      </c>
      <c r="F26" s="3" t="s">
        <v>259</v>
      </c>
      <c r="G26" s="3" t="s">
        <v>260</v>
      </c>
      <c r="H26" s="3" t="s">
        <v>261</v>
      </c>
      <c r="I26" s="3" t="s">
        <v>262</v>
      </c>
      <c r="J26" s="3" t="s">
        <v>263</v>
      </c>
      <c r="K26" s="3" t="s">
        <v>264</v>
      </c>
      <c r="L26" s="3" t="s">
        <v>265</v>
      </c>
      <c r="M26" s="3" t="s">
        <v>266</v>
      </c>
    </row>
    <row r="27" spans="1:13" ht="14.25" customHeight="1" x14ac:dyDescent="0.3">
      <c r="A27" s="8" t="s">
        <v>267</v>
      </c>
      <c r="B27" s="8"/>
      <c r="C27" s="32">
        <f>B23</f>
        <v>9800000</v>
      </c>
      <c r="D27" s="32">
        <f t="shared" ref="D27:L27" si="0">C31</f>
        <v>9185095.1301513854</v>
      </c>
      <c r="E27" s="32">
        <f t="shared" si="0"/>
        <v>8508699.7733179107</v>
      </c>
      <c r="F27" s="32">
        <f t="shared" si="0"/>
        <v>7764664.8808010882</v>
      </c>
      <c r="G27" s="32">
        <f t="shared" si="0"/>
        <v>6946226.4990325831</v>
      </c>
      <c r="H27" s="32">
        <f t="shared" si="0"/>
        <v>6045944.2790872278</v>
      </c>
      <c r="I27" s="32">
        <f t="shared" si="0"/>
        <v>5055633.8371473365</v>
      </c>
      <c r="J27" s="32">
        <f t="shared" si="0"/>
        <v>3966292.3510134565</v>
      </c>
      <c r="K27" s="32">
        <f t="shared" si="0"/>
        <v>2768016.7162661883</v>
      </c>
      <c r="L27" s="32">
        <f t="shared" si="0"/>
        <v>1449913.5180441933</v>
      </c>
      <c r="M27" s="8"/>
    </row>
    <row r="28" spans="1:13" ht="14.25" customHeight="1" x14ac:dyDescent="0.3">
      <c r="A28" s="8" t="s">
        <v>268</v>
      </c>
      <c r="B28" s="8"/>
      <c r="C28" s="32">
        <f t="shared" ref="C28:L28" si="1">$B$24</f>
        <v>1594904.8698486139</v>
      </c>
      <c r="D28" s="32">
        <f t="shared" si="1"/>
        <v>1594904.8698486139</v>
      </c>
      <c r="E28" s="32">
        <f t="shared" si="1"/>
        <v>1594904.8698486139</v>
      </c>
      <c r="F28" s="32">
        <f t="shared" si="1"/>
        <v>1594904.8698486139</v>
      </c>
      <c r="G28" s="32">
        <f t="shared" si="1"/>
        <v>1594904.8698486139</v>
      </c>
      <c r="H28" s="32">
        <f t="shared" si="1"/>
        <v>1594904.8698486139</v>
      </c>
      <c r="I28" s="32">
        <f t="shared" si="1"/>
        <v>1594904.8698486139</v>
      </c>
      <c r="J28" s="32">
        <f t="shared" si="1"/>
        <v>1594904.8698486139</v>
      </c>
      <c r="K28" s="32">
        <f t="shared" si="1"/>
        <v>1594904.8698486139</v>
      </c>
      <c r="L28" s="32">
        <f t="shared" si="1"/>
        <v>1594904.8698486139</v>
      </c>
      <c r="M28" s="32">
        <f>SUM(C28:L28)+B30+M33</f>
        <v>16649048.698486142</v>
      </c>
    </row>
    <row r="29" spans="1:13" ht="14.25" customHeight="1" x14ac:dyDescent="0.3">
      <c r="A29" s="8" t="s">
        <v>269</v>
      </c>
      <c r="B29" s="8"/>
      <c r="C29" s="32">
        <f t="shared" ref="C29:L29" si="2">C27*$B$7</f>
        <v>980000</v>
      </c>
      <c r="D29" s="32">
        <f t="shared" si="2"/>
        <v>918509.51301513857</v>
      </c>
      <c r="E29" s="32">
        <f t="shared" si="2"/>
        <v>850869.97733179107</v>
      </c>
      <c r="F29" s="32">
        <f t="shared" si="2"/>
        <v>776466.48808010889</v>
      </c>
      <c r="G29" s="32">
        <f t="shared" si="2"/>
        <v>694622.64990325831</v>
      </c>
      <c r="H29" s="32">
        <f t="shared" si="2"/>
        <v>604594.42790872278</v>
      </c>
      <c r="I29" s="32">
        <f t="shared" si="2"/>
        <v>505563.38371473365</v>
      </c>
      <c r="J29" s="32">
        <f t="shared" si="2"/>
        <v>396629.23510134569</v>
      </c>
      <c r="K29" s="32">
        <f t="shared" si="2"/>
        <v>276801.67162661883</v>
      </c>
      <c r="L29" s="32">
        <f t="shared" si="2"/>
        <v>144991.35180441933</v>
      </c>
      <c r="M29" s="32">
        <f>SUM(C29:L29)</f>
        <v>6149048.6984861381</v>
      </c>
    </row>
    <row r="30" spans="1:13" ht="14.25" customHeight="1" x14ac:dyDescent="0.3">
      <c r="A30" s="8" t="s">
        <v>270</v>
      </c>
      <c r="B30" s="32">
        <f>B2*B4*B5</f>
        <v>4200000</v>
      </c>
      <c r="C30" s="32">
        <f t="shared" ref="C30:L30" si="3">C28-C29</f>
        <v>614904.86984861386</v>
      </c>
      <c r="D30" s="32">
        <f t="shared" si="3"/>
        <v>676395.35683347529</v>
      </c>
      <c r="E30" s="32">
        <f t="shared" si="3"/>
        <v>744034.89251682279</v>
      </c>
      <c r="F30" s="32">
        <f t="shared" si="3"/>
        <v>818438.38176850497</v>
      </c>
      <c r="G30" s="32">
        <f t="shared" si="3"/>
        <v>900282.21994535555</v>
      </c>
      <c r="H30" s="32">
        <f t="shared" si="3"/>
        <v>990310.44193989108</v>
      </c>
      <c r="I30" s="32">
        <f t="shared" si="3"/>
        <v>1089341.4861338802</v>
      </c>
      <c r="J30" s="32">
        <f t="shared" si="3"/>
        <v>1198275.6347472682</v>
      </c>
      <c r="K30" s="32">
        <f t="shared" si="3"/>
        <v>1318103.198221995</v>
      </c>
      <c r="L30" s="32">
        <f t="shared" si="3"/>
        <v>1449913.5180441944</v>
      </c>
      <c r="M30" s="32">
        <f>SUM(C30:L30)</f>
        <v>9800000</v>
      </c>
    </row>
    <row r="31" spans="1:13" ht="14.25" customHeight="1" x14ac:dyDescent="0.3">
      <c r="A31" s="8" t="s">
        <v>271</v>
      </c>
      <c r="B31" s="32">
        <f>B23</f>
        <v>9800000</v>
      </c>
      <c r="C31" s="32">
        <f t="shared" ref="C31:L31" si="4">C27-C30</f>
        <v>9185095.1301513854</v>
      </c>
      <c r="D31" s="32">
        <f t="shared" si="4"/>
        <v>8508699.7733179107</v>
      </c>
      <c r="E31" s="32">
        <f t="shared" si="4"/>
        <v>7764664.8808010882</v>
      </c>
      <c r="F31" s="32">
        <f t="shared" si="4"/>
        <v>6946226.4990325831</v>
      </c>
      <c r="G31" s="32">
        <f t="shared" si="4"/>
        <v>6045944.2790872278</v>
      </c>
      <c r="H31" s="32">
        <f t="shared" si="4"/>
        <v>5055633.8371473365</v>
      </c>
      <c r="I31" s="32">
        <f t="shared" si="4"/>
        <v>3966292.3510134565</v>
      </c>
      <c r="J31" s="32">
        <f t="shared" si="4"/>
        <v>2768016.7162661883</v>
      </c>
      <c r="K31" s="32">
        <f t="shared" si="4"/>
        <v>1449913.5180441933</v>
      </c>
      <c r="L31" s="32">
        <f t="shared" si="4"/>
        <v>0</v>
      </c>
      <c r="M31" s="8"/>
    </row>
    <row r="32" spans="1:13" ht="14.25" customHeight="1" x14ac:dyDescent="0.3">
      <c r="A32" s="8" t="s">
        <v>272</v>
      </c>
      <c r="B32" s="43">
        <v>1</v>
      </c>
      <c r="C32" s="43">
        <v>0.85</v>
      </c>
      <c r="D32" s="43">
        <v>0.8</v>
      </c>
      <c r="E32" s="43">
        <v>0.75</v>
      </c>
      <c r="F32" s="43">
        <v>0.65</v>
      </c>
      <c r="G32" s="43">
        <v>0.6</v>
      </c>
      <c r="H32" s="43">
        <v>0.55000000000000004</v>
      </c>
      <c r="I32" s="43">
        <v>0.45</v>
      </c>
      <c r="J32" s="43">
        <v>0.4</v>
      </c>
      <c r="K32" s="43">
        <v>0.35</v>
      </c>
      <c r="L32" s="43">
        <v>0.25</v>
      </c>
      <c r="M32" s="8"/>
    </row>
    <row r="33" spans="1:13" ht="14.25" customHeight="1" x14ac:dyDescent="0.3">
      <c r="A33" s="8" t="s">
        <v>273</v>
      </c>
      <c r="B33" s="32">
        <f t="shared" ref="B33:L33" si="5">(B32*$B$2*$B$4)*-1</f>
        <v>-14000000</v>
      </c>
      <c r="C33" s="32">
        <f t="shared" si="5"/>
        <v>-11900000</v>
      </c>
      <c r="D33" s="32">
        <f t="shared" si="5"/>
        <v>-11200000</v>
      </c>
      <c r="E33" s="32">
        <f t="shared" si="5"/>
        <v>-10500000</v>
      </c>
      <c r="F33" s="32">
        <f t="shared" si="5"/>
        <v>-9100000</v>
      </c>
      <c r="G33" s="32">
        <f t="shared" si="5"/>
        <v>-8400000</v>
      </c>
      <c r="H33" s="32">
        <f t="shared" si="5"/>
        <v>-7700000</v>
      </c>
      <c r="I33" s="32">
        <f t="shared" si="5"/>
        <v>-6300000</v>
      </c>
      <c r="J33" s="32">
        <f t="shared" si="5"/>
        <v>-5600000</v>
      </c>
      <c r="K33" s="32">
        <f t="shared" si="5"/>
        <v>-4900000</v>
      </c>
      <c r="L33" s="32">
        <f t="shared" si="5"/>
        <v>-3500000</v>
      </c>
      <c r="M33" s="32">
        <f>L33</f>
        <v>-3500000</v>
      </c>
    </row>
    <row r="34" spans="1:13" ht="14.25" customHeight="1" x14ac:dyDescent="0.3">
      <c r="A34" s="28" t="s">
        <v>309</v>
      </c>
      <c r="B34" s="52"/>
      <c r="C34" s="52"/>
      <c r="D34" s="52"/>
      <c r="E34" s="52"/>
      <c r="F34" s="52"/>
      <c r="G34" s="52"/>
      <c r="H34" s="52"/>
      <c r="I34" s="52">
        <f>B6*B4</f>
        <v>560000</v>
      </c>
      <c r="J34" s="52"/>
      <c r="K34" s="52"/>
      <c r="L34" s="52"/>
      <c r="M34" s="52">
        <f>SUM(I34:L34)</f>
        <v>560000</v>
      </c>
    </row>
    <row r="35" spans="1:13" ht="14.25" customHeight="1" x14ac:dyDescent="0.3">
      <c r="A35" s="28" t="s">
        <v>310</v>
      </c>
      <c r="B35" s="52"/>
      <c r="C35" s="52"/>
      <c r="D35" s="52"/>
      <c r="E35" s="52"/>
      <c r="F35" s="52"/>
      <c r="G35" s="52"/>
      <c r="H35" s="52"/>
      <c r="I35" s="52"/>
      <c r="J35" s="52"/>
      <c r="K35" s="52"/>
      <c r="L35" s="52"/>
      <c r="M35" s="52">
        <f>M28+M33+B30+M34</f>
        <v>17909048.698486142</v>
      </c>
    </row>
    <row r="36" spans="1:13" ht="14.25" customHeight="1" x14ac:dyDescent="0.3"/>
    <row r="37" spans="1:13" ht="14.25" customHeight="1" x14ac:dyDescent="0.3">
      <c r="A37" s="3" t="s">
        <v>274</v>
      </c>
      <c r="B37" s="3" t="s">
        <v>255</v>
      </c>
      <c r="C37" s="3" t="s">
        <v>256</v>
      </c>
      <c r="D37" s="3" t="s">
        <v>257</v>
      </c>
      <c r="E37" s="3" t="s">
        <v>258</v>
      </c>
      <c r="F37" s="3" t="s">
        <v>259</v>
      </c>
      <c r="G37" s="3" t="s">
        <v>260</v>
      </c>
      <c r="H37" s="3" t="s">
        <v>261</v>
      </c>
      <c r="I37" s="3" t="s">
        <v>262</v>
      </c>
      <c r="J37" s="3" t="s">
        <v>263</v>
      </c>
      <c r="K37" s="3" t="s">
        <v>264</v>
      </c>
      <c r="L37" s="3" t="s">
        <v>265</v>
      </c>
      <c r="M37" s="3" t="s">
        <v>266</v>
      </c>
    </row>
    <row r="38" spans="1:13" ht="14.25" customHeight="1" x14ac:dyDescent="0.3">
      <c r="A38" s="8" t="s">
        <v>267</v>
      </c>
      <c r="B38" s="8"/>
      <c r="C38" s="32">
        <f t="shared" ref="C38:L38" si="6">B42</f>
        <v>425213</v>
      </c>
      <c r="D38" s="32">
        <f t="shared" si="6"/>
        <v>395860.76402265049</v>
      </c>
      <c r="E38" s="32">
        <f t="shared" si="6"/>
        <v>364160.34916711302</v>
      </c>
      <c r="F38" s="32">
        <f t="shared" si="6"/>
        <v>329923.90112313256</v>
      </c>
      <c r="G38" s="32">
        <f t="shared" si="6"/>
        <v>292948.53723563364</v>
      </c>
      <c r="H38" s="32">
        <f t="shared" si="6"/>
        <v>253015.14423713481</v>
      </c>
      <c r="I38" s="32">
        <f t="shared" si="6"/>
        <v>209887.07979875605</v>
      </c>
      <c r="J38" s="32">
        <f t="shared" si="6"/>
        <v>163308.770205307</v>
      </c>
      <c r="K38" s="32">
        <f t="shared" si="6"/>
        <v>113004.19584438202</v>
      </c>
      <c r="L38" s="32">
        <f t="shared" si="6"/>
        <v>58675.255534583055</v>
      </c>
      <c r="M38" s="8"/>
    </row>
    <row r="39" spans="1:13" ht="14.25" customHeight="1" x14ac:dyDescent="0.3">
      <c r="A39" s="8" t="s">
        <v>268</v>
      </c>
      <c r="B39" s="8"/>
      <c r="C39" s="32">
        <f t="shared" ref="C39:L39" si="7">$D$24</f>
        <v>63369.275977349527</v>
      </c>
      <c r="D39" s="32">
        <f t="shared" si="7"/>
        <v>63369.275977349527</v>
      </c>
      <c r="E39" s="32">
        <f t="shared" si="7"/>
        <v>63369.275977349527</v>
      </c>
      <c r="F39" s="32">
        <f t="shared" si="7"/>
        <v>63369.275977349527</v>
      </c>
      <c r="G39" s="32">
        <f t="shared" si="7"/>
        <v>63369.275977349527</v>
      </c>
      <c r="H39" s="32">
        <f t="shared" si="7"/>
        <v>63369.275977349527</v>
      </c>
      <c r="I39" s="32">
        <f t="shared" si="7"/>
        <v>63369.275977349527</v>
      </c>
      <c r="J39" s="32">
        <f t="shared" si="7"/>
        <v>63369.275977349527</v>
      </c>
      <c r="K39" s="32">
        <f t="shared" si="7"/>
        <v>63369.275977349527</v>
      </c>
      <c r="L39" s="32">
        <f t="shared" si="7"/>
        <v>63369.275977349527</v>
      </c>
      <c r="M39" s="32">
        <f>SUM(C39:L39)</f>
        <v>633692.75977349526</v>
      </c>
    </row>
    <row r="40" spans="1:13" ht="14.25" customHeight="1" x14ac:dyDescent="0.3">
      <c r="A40" s="8" t="s">
        <v>269</v>
      </c>
      <c r="B40" s="8"/>
      <c r="C40" s="32">
        <f t="shared" ref="C40:L40" si="8">C38*$B$11</f>
        <v>34017.040000000001</v>
      </c>
      <c r="D40" s="32">
        <f t="shared" si="8"/>
        <v>31668.861121812039</v>
      </c>
      <c r="E40" s="32">
        <f t="shared" si="8"/>
        <v>29132.827933369041</v>
      </c>
      <c r="F40" s="32">
        <f t="shared" si="8"/>
        <v>26393.912089850604</v>
      </c>
      <c r="G40" s="32">
        <f t="shared" si="8"/>
        <v>23435.882978850692</v>
      </c>
      <c r="H40" s="32">
        <f t="shared" si="8"/>
        <v>20241.211538970787</v>
      </c>
      <c r="I40" s="32">
        <f t="shared" si="8"/>
        <v>16790.966383900486</v>
      </c>
      <c r="J40" s="32">
        <f t="shared" si="8"/>
        <v>13064.70161642456</v>
      </c>
      <c r="K40" s="32">
        <f t="shared" si="8"/>
        <v>9040.335667550562</v>
      </c>
      <c r="L40" s="32">
        <f t="shared" si="8"/>
        <v>4694.0204427666449</v>
      </c>
      <c r="M40" s="32">
        <f>SUM(C40:L40)</f>
        <v>208479.75977349543</v>
      </c>
    </row>
    <row r="41" spans="1:13" ht="14.25" customHeight="1" x14ac:dyDescent="0.3">
      <c r="A41" s="8" t="s">
        <v>270</v>
      </c>
      <c r="B41" s="8"/>
      <c r="C41" s="32">
        <f t="shared" ref="C41:L41" si="9">C39-C40</f>
        <v>29352.235977349526</v>
      </c>
      <c r="D41" s="32">
        <f t="shared" si="9"/>
        <v>31700.414855537489</v>
      </c>
      <c r="E41" s="32">
        <f t="shared" si="9"/>
        <v>34236.44804398049</v>
      </c>
      <c r="F41" s="32">
        <f t="shared" si="9"/>
        <v>36975.363887498926</v>
      </c>
      <c r="G41" s="32">
        <f t="shared" si="9"/>
        <v>39933.392998498835</v>
      </c>
      <c r="H41" s="32">
        <f t="shared" si="9"/>
        <v>43128.064438378744</v>
      </c>
      <c r="I41" s="32">
        <f t="shared" si="9"/>
        <v>46578.309593449041</v>
      </c>
      <c r="J41" s="32">
        <f t="shared" si="9"/>
        <v>50304.574360924969</v>
      </c>
      <c r="K41" s="32">
        <f t="shared" si="9"/>
        <v>54328.940309798963</v>
      </c>
      <c r="L41" s="32">
        <f t="shared" si="9"/>
        <v>58675.255534582881</v>
      </c>
      <c r="M41" s="32">
        <f>SUM(C41:L41)</f>
        <v>425212.99999999988</v>
      </c>
    </row>
    <row r="42" spans="1:13" ht="14.25" customHeight="1" x14ac:dyDescent="0.3">
      <c r="A42" s="8" t="s">
        <v>271</v>
      </c>
      <c r="B42" s="32">
        <f>B3</f>
        <v>425213</v>
      </c>
      <c r="C42" s="32">
        <f t="shared" ref="C42:L42" si="10">C38-C41</f>
        <v>395860.76402265049</v>
      </c>
      <c r="D42" s="32">
        <f t="shared" si="10"/>
        <v>364160.34916711302</v>
      </c>
      <c r="E42" s="32">
        <f t="shared" si="10"/>
        <v>329923.90112313256</v>
      </c>
      <c r="F42" s="32">
        <f t="shared" si="10"/>
        <v>292948.53723563364</v>
      </c>
      <c r="G42" s="32">
        <f t="shared" si="10"/>
        <v>253015.14423713481</v>
      </c>
      <c r="H42" s="32">
        <f t="shared" si="10"/>
        <v>209887.07979875605</v>
      </c>
      <c r="I42" s="32">
        <f t="shared" si="10"/>
        <v>163308.770205307</v>
      </c>
      <c r="J42" s="32">
        <f t="shared" si="10"/>
        <v>113004.19584438202</v>
      </c>
      <c r="K42" s="32">
        <f t="shared" si="10"/>
        <v>58675.255534583055</v>
      </c>
      <c r="L42" s="32">
        <f t="shared" si="10"/>
        <v>1.7462298274040222E-10</v>
      </c>
      <c r="M42" s="8"/>
    </row>
    <row r="43" spans="1:13" ht="14.25" customHeight="1" x14ac:dyDescent="0.3"/>
    <row r="44" spans="1:13" ht="14.25" customHeight="1" x14ac:dyDescent="0.3">
      <c r="A44" s="3" t="s">
        <v>117</v>
      </c>
      <c r="B44" s="3" t="s">
        <v>255</v>
      </c>
      <c r="C44" s="3" t="s">
        <v>256</v>
      </c>
      <c r="D44" s="3" t="s">
        <v>257</v>
      </c>
      <c r="E44" s="3" t="s">
        <v>258</v>
      </c>
      <c r="F44" s="3" t="s">
        <v>259</v>
      </c>
      <c r="G44" s="3" t="s">
        <v>260</v>
      </c>
      <c r="H44" s="3" t="s">
        <v>261</v>
      </c>
      <c r="I44" s="3" t="s">
        <v>262</v>
      </c>
      <c r="J44" s="3" t="s">
        <v>263</v>
      </c>
      <c r="K44" s="3" t="s">
        <v>264</v>
      </c>
      <c r="L44" s="3" t="s">
        <v>265</v>
      </c>
      <c r="M44" s="3" t="s">
        <v>266</v>
      </c>
    </row>
    <row r="45" spans="1:13" ht="14.25" customHeight="1" x14ac:dyDescent="0.3">
      <c r="A45" s="19" t="s">
        <v>275</v>
      </c>
      <c r="B45" s="19"/>
      <c r="C45" s="19"/>
      <c r="D45" s="19"/>
      <c r="E45" s="19"/>
      <c r="F45" s="19"/>
      <c r="G45" s="19"/>
      <c r="H45" s="19"/>
      <c r="I45" s="19"/>
      <c r="J45" s="19"/>
      <c r="K45" s="19"/>
      <c r="L45" s="19"/>
      <c r="M45" s="19"/>
    </row>
    <row r="46" spans="1:13" ht="14.25" customHeight="1" x14ac:dyDescent="0.3">
      <c r="A46" s="8" t="s">
        <v>311</v>
      </c>
      <c r="B46" s="28"/>
      <c r="C46" s="45">
        <f>B16</f>
        <v>7.0000000000000007E-2</v>
      </c>
      <c r="D46" s="8">
        <f t="shared" ref="D46:L46" si="11">C46*(1+D47)</f>
        <v>7.2100000000000011E-2</v>
      </c>
      <c r="E46" s="8">
        <f t="shared" si="11"/>
        <v>7.426300000000001E-2</v>
      </c>
      <c r="F46" s="8">
        <f t="shared" si="11"/>
        <v>7.6490890000000006E-2</v>
      </c>
      <c r="G46" s="8">
        <f t="shared" si="11"/>
        <v>7.8785616700000005E-2</v>
      </c>
      <c r="H46" s="8">
        <f t="shared" si="11"/>
        <v>8.1149185201000007E-2</v>
      </c>
      <c r="I46" s="8">
        <f t="shared" si="11"/>
        <v>8.3583660757030012E-2</v>
      </c>
      <c r="J46" s="8">
        <f t="shared" si="11"/>
        <v>8.6091170579740917E-2</v>
      </c>
      <c r="K46" s="8">
        <f t="shared" si="11"/>
        <v>8.867390569713314E-2</v>
      </c>
      <c r="L46" s="8">
        <f t="shared" si="11"/>
        <v>9.1334122868047138E-2</v>
      </c>
      <c r="M46" s="8"/>
    </row>
    <row r="47" spans="1:13" ht="14.25" customHeight="1" x14ac:dyDescent="0.3">
      <c r="A47" s="8" t="s">
        <v>277</v>
      </c>
      <c r="B47" s="44"/>
      <c r="C47" s="44">
        <f t="shared" ref="C47:L47" si="12">$B$17</f>
        <v>0.03</v>
      </c>
      <c r="D47" s="44">
        <f t="shared" si="12"/>
        <v>0.03</v>
      </c>
      <c r="E47" s="44">
        <f t="shared" si="12"/>
        <v>0.03</v>
      </c>
      <c r="F47" s="44">
        <f t="shared" si="12"/>
        <v>0.03</v>
      </c>
      <c r="G47" s="44">
        <f t="shared" si="12"/>
        <v>0.03</v>
      </c>
      <c r="H47" s="44">
        <f t="shared" si="12"/>
        <v>0.03</v>
      </c>
      <c r="I47" s="44">
        <f t="shared" si="12"/>
        <v>0.03</v>
      </c>
      <c r="J47" s="44">
        <f t="shared" si="12"/>
        <v>0.03</v>
      </c>
      <c r="K47" s="44">
        <f t="shared" si="12"/>
        <v>0.03</v>
      </c>
      <c r="L47" s="44">
        <f t="shared" si="12"/>
        <v>0.03</v>
      </c>
      <c r="M47" s="8"/>
    </row>
    <row r="48" spans="1:13" ht="14.25" customHeight="1" x14ac:dyDescent="0.3">
      <c r="A48" s="5" t="s">
        <v>312</v>
      </c>
      <c r="B48" s="8"/>
      <c r="C48" s="8">
        <f t="shared" ref="C48:L48" si="13">$B$18</f>
        <v>1.33</v>
      </c>
      <c r="D48" s="8">
        <f t="shared" si="13"/>
        <v>1.33</v>
      </c>
      <c r="E48" s="8">
        <f t="shared" si="13"/>
        <v>1.33</v>
      </c>
      <c r="F48" s="8">
        <f t="shared" si="13"/>
        <v>1.33</v>
      </c>
      <c r="G48" s="8">
        <f t="shared" si="13"/>
        <v>1.33</v>
      </c>
      <c r="H48" s="8">
        <f t="shared" si="13"/>
        <v>1.33</v>
      </c>
      <c r="I48" s="8">
        <f t="shared" si="13"/>
        <v>1.33</v>
      </c>
      <c r="J48" s="8">
        <f t="shared" si="13"/>
        <v>1.33</v>
      </c>
      <c r="K48" s="8">
        <f t="shared" si="13"/>
        <v>1.33</v>
      </c>
      <c r="L48" s="8">
        <f t="shared" si="13"/>
        <v>1.33</v>
      </c>
      <c r="M48" s="8"/>
    </row>
    <row r="49" spans="1:26" ht="14.25" customHeight="1" x14ac:dyDescent="0.3">
      <c r="A49" s="8" t="s">
        <v>313</v>
      </c>
      <c r="B49" s="32"/>
      <c r="C49" s="32">
        <f t="shared" ref="C49:L49" si="14">+$B$4*$B$15*(C46/C48)</f>
        <v>295326.31578947371</v>
      </c>
      <c r="D49" s="32">
        <f t="shared" si="14"/>
        <v>304186.10526315792</v>
      </c>
      <c r="E49" s="32">
        <f t="shared" si="14"/>
        <v>313311.68842105265</v>
      </c>
      <c r="F49" s="32">
        <f t="shared" si="14"/>
        <v>322711.03907368419</v>
      </c>
      <c r="G49" s="32">
        <f t="shared" si="14"/>
        <v>332392.37024589477</v>
      </c>
      <c r="H49" s="32">
        <f t="shared" si="14"/>
        <v>342364.14135327161</v>
      </c>
      <c r="I49" s="32">
        <f t="shared" si="14"/>
        <v>352635.06559386977</v>
      </c>
      <c r="J49" s="32">
        <f t="shared" si="14"/>
        <v>363214.11756168591</v>
      </c>
      <c r="K49" s="32">
        <f t="shared" si="14"/>
        <v>374110.54108853638</v>
      </c>
      <c r="L49" s="32">
        <f t="shared" si="14"/>
        <v>385333.85732119257</v>
      </c>
      <c r="M49" s="32">
        <f>SUM(B49:L49)</f>
        <v>3385585.2417118195</v>
      </c>
    </row>
    <row r="50" spans="1:26" ht="14.25" customHeight="1" x14ac:dyDescent="0.3">
      <c r="A50" s="3" t="s">
        <v>280</v>
      </c>
      <c r="B50" s="3"/>
      <c r="C50" s="3"/>
      <c r="D50" s="3"/>
      <c r="E50" s="3"/>
      <c r="F50" s="3"/>
      <c r="G50" s="3"/>
      <c r="H50" s="3"/>
      <c r="I50" s="3"/>
      <c r="J50" s="3"/>
      <c r="K50" s="3"/>
      <c r="L50" s="3"/>
      <c r="M50" s="3"/>
    </row>
    <row r="51" spans="1:26" ht="14.25" customHeight="1" x14ac:dyDescent="0.3">
      <c r="A51" s="8" t="s">
        <v>281</v>
      </c>
      <c r="B51" s="8"/>
      <c r="C51" s="45">
        <f>B19</f>
        <v>9.9000000000000005E-2</v>
      </c>
      <c r="D51" s="8">
        <f t="shared" ref="D51:L51" si="15">C51*(1+D52)</f>
        <v>0.105237</v>
      </c>
      <c r="E51" s="8">
        <f t="shared" si="15"/>
        <v>0.11186693099999999</v>
      </c>
      <c r="F51" s="8">
        <f t="shared" si="15"/>
        <v>0.11891454765299998</v>
      </c>
      <c r="G51" s="8">
        <f t="shared" si="15"/>
        <v>0.12640616415513897</v>
      </c>
      <c r="H51" s="8">
        <f t="shared" si="15"/>
        <v>0.13436975249691271</v>
      </c>
      <c r="I51" s="8">
        <f t="shared" si="15"/>
        <v>0.14283504690421822</v>
      </c>
      <c r="J51" s="8">
        <f t="shared" si="15"/>
        <v>0.15183365485918396</v>
      </c>
      <c r="K51" s="8">
        <f t="shared" si="15"/>
        <v>0.16139917511531254</v>
      </c>
      <c r="L51" s="8">
        <f t="shared" si="15"/>
        <v>0.17156732314757722</v>
      </c>
      <c r="M51" s="8"/>
    </row>
    <row r="52" spans="1:26" ht="14.25" customHeight="1" x14ac:dyDescent="0.3">
      <c r="A52" s="8" t="s">
        <v>282</v>
      </c>
      <c r="B52" s="46"/>
      <c r="C52" s="46">
        <f t="shared" ref="C52:L52" si="16">$B$20</f>
        <v>6.3E-2</v>
      </c>
      <c r="D52" s="46">
        <f t="shared" si="16"/>
        <v>6.3E-2</v>
      </c>
      <c r="E52" s="46">
        <f t="shared" si="16"/>
        <v>6.3E-2</v>
      </c>
      <c r="F52" s="46">
        <f t="shared" si="16"/>
        <v>6.3E-2</v>
      </c>
      <c r="G52" s="46">
        <f t="shared" si="16"/>
        <v>6.3E-2</v>
      </c>
      <c r="H52" s="46">
        <f t="shared" si="16"/>
        <v>6.3E-2</v>
      </c>
      <c r="I52" s="46">
        <f t="shared" si="16"/>
        <v>6.3E-2</v>
      </c>
      <c r="J52" s="46">
        <f t="shared" si="16"/>
        <v>6.3E-2</v>
      </c>
      <c r="K52" s="46">
        <f t="shared" si="16"/>
        <v>6.3E-2</v>
      </c>
      <c r="L52" s="46">
        <f t="shared" si="16"/>
        <v>6.3E-2</v>
      </c>
      <c r="M52" s="8"/>
    </row>
    <row r="53" spans="1:26" ht="14.25" customHeight="1" x14ac:dyDescent="0.3">
      <c r="A53" s="8" t="s">
        <v>283</v>
      </c>
      <c r="B53" s="32"/>
      <c r="C53" s="32">
        <f t="shared" ref="C53:L53" si="17">+$B$4*$B$15*C51</f>
        <v>555508.80000000005</v>
      </c>
      <c r="D53" s="32">
        <f t="shared" si="17"/>
        <v>590505.85439999995</v>
      </c>
      <c r="E53" s="32">
        <f t="shared" si="17"/>
        <v>627707.72322719998</v>
      </c>
      <c r="F53" s="32">
        <f t="shared" si="17"/>
        <v>667253.30979051348</v>
      </c>
      <c r="G53" s="32">
        <f t="shared" si="17"/>
        <v>709290.26830731577</v>
      </c>
      <c r="H53" s="32">
        <f t="shared" si="17"/>
        <v>753975.55521067663</v>
      </c>
      <c r="I53" s="32">
        <f t="shared" si="17"/>
        <v>801476.0151889493</v>
      </c>
      <c r="J53" s="32">
        <f t="shared" si="17"/>
        <v>851969.00414585299</v>
      </c>
      <c r="K53" s="32">
        <f t="shared" si="17"/>
        <v>905643.05140704173</v>
      </c>
      <c r="L53" s="32">
        <f t="shared" si="17"/>
        <v>962698.56364568532</v>
      </c>
      <c r="M53" s="32">
        <f>SUM(B53:L53)</f>
        <v>7426028.1453232355</v>
      </c>
    </row>
    <row r="54" spans="1:26" ht="14.25" customHeight="1" x14ac:dyDescent="0.3">
      <c r="A54" s="8" t="s">
        <v>314</v>
      </c>
      <c r="B54" s="32"/>
      <c r="C54" s="32">
        <f>B2*B4*B9</f>
        <v>490000.00000000006</v>
      </c>
      <c r="D54" s="32">
        <f t="shared" ref="D54:L54" si="18">+C54*(1+D55)</f>
        <v>480200.00000000006</v>
      </c>
      <c r="E54" s="32">
        <f t="shared" si="18"/>
        <v>470596.00000000006</v>
      </c>
      <c r="F54" s="32">
        <f t="shared" si="18"/>
        <v>461184.08000000007</v>
      </c>
      <c r="G54" s="32">
        <f t="shared" si="18"/>
        <v>451960.39840000006</v>
      </c>
      <c r="H54" s="32">
        <f t="shared" si="18"/>
        <v>442921.19043200003</v>
      </c>
      <c r="I54" s="32">
        <f t="shared" si="18"/>
        <v>434062.76662336005</v>
      </c>
      <c r="J54" s="32">
        <f t="shared" si="18"/>
        <v>425381.51129089284</v>
      </c>
      <c r="K54" s="32">
        <f t="shared" si="18"/>
        <v>416873.88106507499</v>
      </c>
      <c r="L54" s="32">
        <f t="shared" si="18"/>
        <v>408536.40344377351</v>
      </c>
      <c r="M54" s="32">
        <f>SUM(B54:L54)</f>
        <v>4481716.231255102</v>
      </c>
    </row>
    <row r="55" spans="1:26" ht="14.25" customHeight="1" x14ac:dyDescent="0.3">
      <c r="A55" s="8" t="s">
        <v>277</v>
      </c>
      <c r="B55" s="43"/>
      <c r="C55" s="43">
        <v>-0.02</v>
      </c>
      <c r="D55" s="43">
        <v>-0.02</v>
      </c>
      <c r="E55" s="43">
        <v>-0.02</v>
      </c>
      <c r="F55" s="43">
        <v>-0.02</v>
      </c>
      <c r="G55" s="43">
        <v>-0.02</v>
      </c>
      <c r="H55" s="43">
        <v>-0.02</v>
      </c>
      <c r="I55" s="43">
        <v>-0.02</v>
      </c>
      <c r="J55" s="43">
        <v>-0.02</v>
      </c>
      <c r="K55" s="43">
        <v>-0.02</v>
      </c>
      <c r="L55" s="43">
        <v>-0.02</v>
      </c>
      <c r="M55" s="8"/>
    </row>
    <row r="56" spans="1:26" ht="14.25" customHeight="1" x14ac:dyDescent="0.3">
      <c r="A56" s="8" t="s">
        <v>315</v>
      </c>
      <c r="B56" s="32"/>
      <c r="C56" s="32">
        <f>'Infrastructure Cost'!C12*'Infrastructure Cost'!C13*B10</f>
        <v>2160</v>
      </c>
      <c r="D56" s="32">
        <f t="shared" ref="D56:L56" si="19">+C56*(1+D57)</f>
        <v>2116.8000000000002</v>
      </c>
      <c r="E56" s="32">
        <f t="shared" si="19"/>
        <v>2074.4639999999999</v>
      </c>
      <c r="F56" s="32">
        <f t="shared" si="19"/>
        <v>2032.9747199999999</v>
      </c>
      <c r="G56" s="32">
        <f t="shared" si="19"/>
        <v>1992.3152255999998</v>
      </c>
      <c r="H56" s="32">
        <f t="shared" si="19"/>
        <v>1952.4689210879999</v>
      </c>
      <c r="I56" s="32">
        <f t="shared" si="19"/>
        <v>1913.4195426662397</v>
      </c>
      <c r="J56" s="32">
        <f t="shared" si="19"/>
        <v>1875.151151812915</v>
      </c>
      <c r="K56" s="32">
        <f t="shared" si="19"/>
        <v>1837.6481287766567</v>
      </c>
      <c r="L56" s="32">
        <f t="shared" si="19"/>
        <v>1800.8951662011234</v>
      </c>
      <c r="M56" s="32">
        <f>SUM(B56:L56)</f>
        <v>19756.136856144934</v>
      </c>
    </row>
    <row r="57" spans="1:26" ht="14.25" customHeight="1" x14ac:dyDescent="0.3">
      <c r="A57" s="8" t="s">
        <v>277</v>
      </c>
      <c r="B57" s="32"/>
      <c r="C57" s="43">
        <v>-0.02</v>
      </c>
      <c r="D57" s="43">
        <v>-0.02</v>
      </c>
      <c r="E57" s="43">
        <v>-0.02</v>
      </c>
      <c r="F57" s="43">
        <v>-0.02</v>
      </c>
      <c r="G57" s="43">
        <v>-0.02</v>
      </c>
      <c r="H57" s="43">
        <v>-0.02</v>
      </c>
      <c r="I57" s="43">
        <v>-0.02</v>
      </c>
      <c r="J57" s="43">
        <v>-0.02</v>
      </c>
      <c r="K57" s="43">
        <v>-0.02</v>
      </c>
      <c r="L57" s="43">
        <v>-0.02</v>
      </c>
      <c r="M57" s="8"/>
    </row>
    <row r="58" spans="1:26" ht="14.25" customHeight="1" x14ac:dyDescent="0.3">
      <c r="A58" s="8" t="s">
        <v>285</v>
      </c>
      <c r="B58" s="32"/>
      <c r="C58" s="32">
        <f>B3*B13</f>
        <v>1063.0325</v>
      </c>
      <c r="D58" s="32">
        <f t="shared" ref="D58:L58" si="20">+C58*(1+D59)</f>
        <v>1130.0035475</v>
      </c>
      <c r="E58" s="32">
        <f t="shared" si="20"/>
        <v>1201.1937709924998</v>
      </c>
      <c r="F58" s="32">
        <f t="shared" si="20"/>
        <v>1276.8689785650272</v>
      </c>
      <c r="G58" s="32">
        <f t="shared" si="20"/>
        <v>1357.3117242146238</v>
      </c>
      <c r="H58" s="32">
        <f t="shared" si="20"/>
        <v>1442.8223628401452</v>
      </c>
      <c r="I58" s="32">
        <f t="shared" si="20"/>
        <v>1533.7201716990742</v>
      </c>
      <c r="J58" s="32">
        <f t="shared" si="20"/>
        <v>1630.3445425161158</v>
      </c>
      <c r="K58" s="32">
        <f t="shared" si="20"/>
        <v>1733.056248694631</v>
      </c>
      <c r="L58" s="32">
        <f t="shared" si="20"/>
        <v>1842.2387923623926</v>
      </c>
      <c r="M58" s="8"/>
    </row>
    <row r="59" spans="1:26" ht="14.25" customHeight="1" x14ac:dyDescent="0.3">
      <c r="A59" s="8" t="s">
        <v>286</v>
      </c>
      <c r="B59" s="46"/>
      <c r="C59" s="46">
        <f t="shared" ref="C59:L59" si="21">$B$20</f>
        <v>6.3E-2</v>
      </c>
      <c r="D59" s="46">
        <f t="shared" si="21"/>
        <v>6.3E-2</v>
      </c>
      <c r="E59" s="46">
        <f t="shared" si="21"/>
        <v>6.3E-2</v>
      </c>
      <c r="F59" s="46">
        <f t="shared" si="21"/>
        <v>6.3E-2</v>
      </c>
      <c r="G59" s="46">
        <f t="shared" si="21"/>
        <v>6.3E-2</v>
      </c>
      <c r="H59" s="46">
        <f t="shared" si="21"/>
        <v>6.3E-2</v>
      </c>
      <c r="I59" s="46">
        <f t="shared" si="21"/>
        <v>6.3E-2</v>
      </c>
      <c r="J59" s="46">
        <f t="shared" si="21"/>
        <v>6.3E-2</v>
      </c>
      <c r="K59" s="46">
        <f t="shared" si="21"/>
        <v>6.3E-2</v>
      </c>
      <c r="L59" s="46">
        <f t="shared" si="21"/>
        <v>6.3E-2</v>
      </c>
      <c r="M59" s="8"/>
    </row>
    <row r="60" spans="1:26" ht="14.25" customHeight="1" x14ac:dyDescent="0.3">
      <c r="A60" s="8" t="s">
        <v>287</v>
      </c>
      <c r="B60" s="32"/>
      <c r="C60" s="32">
        <f t="shared" ref="C60:L60" si="22">C58</f>
        <v>1063.0325</v>
      </c>
      <c r="D60" s="32">
        <f t="shared" si="22"/>
        <v>1130.0035475</v>
      </c>
      <c r="E60" s="32">
        <f t="shared" si="22"/>
        <v>1201.1937709924998</v>
      </c>
      <c r="F60" s="32">
        <f t="shared" si="22"/>
        <v>1276.8689785650272</v>
      </c>
      <c r="G60" s="32">
        <f t="shared" si="22"/>
        <v>1357.3117242146238</v>
      </c>
      <c r="H60" s="32">
        <f t="shared" si="22"/>
        <v>1442.8223628401452</v>
      </c>
      <c r="I60" s="32">
        <f t="shared" si="22"/>
        <v>1533.7201716990742</v>
      </c>
      <c r="J60" s="32">
        <f t="shared" si="22"/>
        <v>1630.3445425161158</v>
      </c>
      <c r="K60" s="32">
        <f t="shared" si="22"/>
        <v>1733.056248694631</v>
      </c>
      <c r="L60" s="32">
        <f t="shared" si="22"/>
        <v>1842.2387923623926</v>
      </c>
      <c r="M60" s="32">
        <f>SUM(B60:L60)</f>
        <v>14210.592639384507</v>
      </c>
    </row>
    <row r="61" spans="1:26" ht="14.25" customHeight="1" x14ac:dyDescent="0.3">
      <c r="A61" s="8"/>
      <c r="B61" s="8"/>
      <c r="C61" s="8"/>
      <c r="D61" s="8"/>
      <c r="E61" s="8"/>
      <c r="F61" s="8"/>
      <c r="G61" s="8"/>
      <c r="H61" s="8"/>
      <c r="I61" s="8"/>
      <c r="J61" s="8"/>
      <c r="K61" s="8"/>
      <c r="L61" s="8" t="s">
        <v>288</v>
      </c>
      <c r="M61" s="32">
        <f>M53+M54+M60+M56</f>
        <v>11941711.106073868</v>
      </c>
    </row>
    <row r="62" spans="1:26" ht="14.25" customHeight="1" x14ac:dyDescent="0.3">
      <c r="A62" s="3" t="s">
        <v>316</v>
      </c>
      <c r="B62" s="3"/>
      <c r="C62" s="3"/>
      <c r="D62" s="3"/>
      <c r="E62" s="3"/>
      <c r="F62" s="3"/>
      <c r="G62" s="3"/>
      <c r="H62" s="3"/>
      <c r="I62" s="3"/>
      <c r="J62" s="3"/>
      <c r="K62" s="3"/>
      <c r="L62" s="3"/>
      <c r="M62" s="3"/>
      <c r="N62" s="53"/>
      <c r="O62" s="53"/>
      <c r="P62" s="53"/>
      <c r="Q62" s="53"/>
      <c r="R62" s="53"/>
      <c r="S62" s="53"/>
      <c r="T62" s="53"/>
      <c r="U62" s="53"/>
      <c r="V62" s="53"/>
      <c r="W62" s="53"/>
      <c r="X62" s="53"/>
      <c r="Y62" s="53"/>
      <c r="Z62" s="53"/>
    </row>
    <row r="63" spans="1:26" ht="14.25" customHeight="1" x14ac:dyDescent="0.3">
      <c r="A63" s="8" t="s">
        <v>317</v>
      </c>
      <c r="B63" s="8"/>
      <c r="C63" s="32">
        <f>'Basic Inputs'!C5</f>
        <v>178872</v>
      </c>
      <c r="D63" s="8">
        <f t="shared" ref="D63:L63" si="23">C63*(1+D64)</f>
        <v>190140.93599999999</v>
      </c>
      <c r="E63" s="8">
        <f t="shared" si="23"/>
        <v>202119.81496799996</v>
      </c>
      <c r="F63" s="8">
        <f t="shared" si="23"/>
        <v>214853.36331098396</v>
      </c>
      <c r="G63" s="8">
        <f t="shared" si="23"/>
        <v>228389.12519957594</v>
      </c>
      <c r="H63" s="8">
        <f t="shared" si="23"/>
        <v>242777.64008714922</v>
      </c>
      <c r="I63" s="8">
        <f t="shared" si="23"/>
        <v>258072.6314126396</v>
      </c>
      <c r="J63" s="8">
        <f t="shared" si="23"/>
        <v>274331.20719163585</v>
      </c>
      <c r="K63" s="8">
        <f t="shared" si="23"/>
        <v>291614.07324470888</v>
      </c>
      <c r="L63" s="8">
        <f t="shared" si="23"/>
        <v>309985.75985912554</v>
      </c>
      <c r="M63" s="32">
        <f>SUM(C63:L63)</f>
        <v>2391156.5512738186</v>
      </c>
    </row>
    <row r="64" spans="1:26" ht="14.25" customHeight="1" x14ac:dyDescent="0.3">
      <c r="A64" s="8" t="s">
        <v>318</v>
      </c>
      <c r="B64" s="8"/>
      <c r="C64" s="46">
        <f>B20</f>
        <v>6.3E-2</v>
      </c>
      <c r="D64" s="46">
        <f>B20</f>
        <v>6.3E-2</v>
      </c>
      <c r="E64" s="46">
        <f t="shared" ref="E64:L64" si="24">$B$20</f>
        <v>6.3E-2</v>
      </c>
      <c r="F64" s="46">
        <f t="shared" si="24"/>
        <v>6.3E-2</v>
      </c>
      <c r="G64" s="46">
        <f t="shared" si="24"/>
        <v>6.3E-2</v>
      </c>
      <c r="H64" s="46">
        <f t="shared" si="24"/>
        <v>6.3E-2</v>
      </c>
      <c r="I64" s="46">
        <f t="shared" si="24"/>
        <v>6.3E-2</v>
      </c>
      <c r="J64" s="46">
        <f t="shared" si="24"/>
        <v>6.3E-2</v>
      </c>
      <c r="K64" s="46">
        <f t="shared" si="24"/>
        <v>6.3E-2</v>
      </c>
      <c r="L64" s="46">
        <f t="shared" si="24"/>
        <v>6.3E-2</v>
      </c>
      <c r="M64" s="8"/>
    </row>
    <row r="65" spans="1:13" ht="14.25" customHeight="1" x14ac:dyDescent="0.3">
      <c r="A65" s="8"/>
      <c r="B65" s="32"/>
      <c r="C65" s="32"/>
      <c r="D65" s="32"/>
      <c r="E65" s="32"/>
      <c r="F65" s="32"/>
      <c r="G65" s="32"/>
      <c r="H65" s="32"/>
      <c r="I65" s="32"/>
      <c r="J65" s="32"/>
      <c r="K65" s="32"/>
      <c r="L65" s="32"/>
      <c r="M65" s="32"/>
    </row>
    <row r="66" spans="1:13" ht="14.25" customHeight="1" x14ac:dyDescent="0.3">
      <c r="A66" s="8" t="s">
        <v>289</v>
      </c>
      <c r="B66" s="32">
        <f>B30</f>
        <v>4200000</v>
      </c>
      <c r="C66" s="32">
        <f t="shared" ref="C66:L66" si="25">C28+C39+C49+C53+C54+C60+C63</f>
        <v>3179044.2941154377</v>
      </c>
      <c r="D66" s="32">
        <f t="shared" si="25"/>
        <v>3224437.0450366214</v>
      </c>
      <c r="E66" s="32">
        <f t="shared" si="25"/>
        <v>3273210.5662132087</v>
      </c>
      <c r="F66" s="32">
        <f t="shared" si="25"/>
        <v>3325552.8069797102</v>
      </c>
      <c r="G66" s="32">
        <f t="shared" si="25"/>
        <v>3381663.619702965</v>
      </c>
      <c r="H66" s="32">
        <f t="shared" si="25"/>
        <v>3441755.4952719011</v>
      </c>
      <c r="I66" s="32">
        <f t="shared" si="25"/>
        <v>3506054.3448164817</v>
      </c>
      <c r="J66" s="32">
        <f t="shared" si="25"/>
        <v>3574800.3305585473</v>
      </c>
      <c r="K66" s="32">
        <f t="shared" si="25"/>
        <v>3648248.7488800203</v>
      </c>
      <c r="L66" s="32">
        <f t="shared" si="25"/>
        <v>3726670.9688881026</v>
      </c>
      <c r="M66" s="32">
        <f>M28+M39+M49+M61+M63</f>
        <v>35001194.357319146</v>
      </c>
    </row>
    <row r="67" spans="1:13" ht="14.25" customHeight="1" x14ac:dyDescent="0.3"/>
    <row r="68" spans="1:13" ht="14.25" customHeight="1" x14ac:dyDescent="0.3"/>
    <row r="69" spans="1:13" ht="14.25" customHeight="1" x14ac:dyDescent="0.3"/>
    <row r="70" spans="1:13" ht="14.25" customHeight="1" x14ac:dyDescent="0.3"/>
    <row r="71" spans="1:13" ht="14.25" customHeight="1" x14ac:dyDescent="0.3"/>
    <row r="72" spans="1:13" ht="14.25" customHeight="1" x14ac:dyDescent="0.3"/>
    <row r="73" spans="1:13" ht="14.25" customHeight="1" x14ac:dyDescent="0.3"/>
    <row r="74" spans="1:13" ht="14.25" customHeight="1" x14ac:dyDescent="0.3"/>
    <row r="75" spans="1:13" ht="14.25" customHeight="1" x14ac:dyDescent="0.3"/>
    <row r="76" spans="1:13" ht="14.25" customHeight="1" x14ac:dyDescent="0.3"/>
    <row r="77" spans="1:13" ht="14.25" customHeight="1" x14ac:dyDescent="0.3"/>
    <row r="78" spans="1:13" ht="14.25" customHeight="1" x14ac:dyDescent="0.3"/>
    <row r="79" spans="1:13" ht="14.25" customHeight="1" x14ac:dyDescent="0.3"/>
    <row r="80" spans="1:13"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workbookViewId="0">
      <selection activeCell="C44" sqref="C44"/>
    </sheetView>
  </sheetViews>
  <sheetFormatPr defaultColWidth="12.5546875" defaultRowHeight="15" customHeight="1" x14ac:dyDescent="0.3"/>
  <cols>
    <col min="1" max="1" width="61.88671875" customWidth="1"/>
    <col min="2" max="2" width="18.33203125" customWidth="1"/>
    <col min="3" max="3" width="30.44140625" customWidth="1"/>
    <col min="4" max="4" width="74.5546875" customWidth="1"/>
    <col min="5" max="6" width="8.5546875" customWidth="1"/>
  </cols>
  <sheetData>
    <row r="1" spans="1:4" ht="14.25" customHeight="1" x14ac:dyDescent="0.3">
      <c r="A1" s="2"/>
      <c r="B1" s="2"/>
      <c r="C1" s="2"/>
    </row>
    <row r="2" spans="1:4" ht="14.25" customHeight="1" x14ac:dyDescent="0.3">
      <c r="A2" s="3" t="s">
        <v>78</v>
      </c>
      <c r="B2" s="3" t="s">
        <v>79</v>
      </c>
      <c r="C2" s="3" t="s">
        <v>80</v>
      </c>
      <c r="D2" s="4" t="s">
        <v>81</v>
      </c>
    </row>
    <row r="3" spans="1:4" ht="14.25" customHeight="1" x14ac:dyDescent="0.3">
      <c r="A3" s="5" t="s">
        <v>82</v>
      </c>
      <c r="B3" s="6">
        <v>60000</v>
      </c>
      <c r="C3" s="6">
        <v>140000</v>
      </c>
      <c r="D3" s="7" t="s">
        <v>83</v>
      </c>
    </row>
    <row r="4" spans="1:4" ht="14.25" customHeight="1" x14ac:dyDescent="0.3">
      <c r="A4" s="8" t="s">
        <v>84</v>
      </c>
      <c r="B4" s="9">
        <f>'Infrastructure Cost'!B5</f>
        <v>620000</v>
      </c>
      <c r="C4" s="9">
        <f>'Infrastructure Cost'!C25</f>
        <v>425213</v>
      </c>
      <c r="D4" s="10" t="s">
        <v>85</v>
      </c>
    </row>
    <row r="5" spans="1:4" ht="14.25" customHeight="1" x14ac:dyDescent="0.3">
      <c r="A5" s="8" t="s">
        <v>86</v>
      </c>
      <c r="B5" s="11" t="s">
        <v>87</v>
      </c>
      <c r="C5" s="9">
        <f>'Infrastructure Cost'!C19</f>
        <v>178872</v>
      </c>
      <c r="D5" s="10" t="s">
        <v>88</v>
      </c>
    </row>
    <row r="6" spans="1:4" ht="14.25" customHeight="1" x14ac:dyDescent="0.3">
      <c r="A6" s="8" t="s">
        <v>89</v>
      </c>
      <c r="B6" s="12" t="s">
        <v>87</v>
      </c>
      <c r="C6" s="12" t="s">
        <v>90</v>
      </c>
      <c r="D6" s="7" t="s">
        <v>91</v>
      </c>
    </row>
    <row r="7" spans="1:4" ht="14.25" customHeight="1" x14ac:dyDescent="0.3">
      <c r="A7" s="5" t="s">
        <v>92</v>
      </c>
      <c r="B7" s="13">
        <v>0.03</v>
      </c>
      <c r="C7" s="13">
        <v>3.5000000000000003E-2</v>
      </c>
      <c r="D7" s="2"/>
    </row>
    <row r="8" spans="1:4" ht="14.25" customHeight="1" x14ac:dyDescent="0.3">
      <c r="A8" s="8" t="s">
        <v>93</v>
      </c>
      <c r="B8" s="11" t="s">
        <v>87</v>
      </c>
      <c r="C8" s="13">
        <v>0.02</v>
      </c>
      <c r="D8" s="7" t="s">
        <v>94</v>
      </c>
    </row>
    <row r="9" spans="1:4" ht="14.25" customHeight="1" x14ac:dyDescent="0.3">
      <c r="A9" s="8" t="s">
        <v>95</v>
      </c>
      <c r="B9" s="6">
        <v>1.24</v>
      </c>
      <c r="C9" s="14">
        <v>7.0000000000000007E-2</v>
      </c>
      <c r="D9" s="7" t="s">
        <v>96</v>
      </c>
    </row>
    <row r="10" spans="1:4" ht="14.25" customHeight="1" x14ac:dyDescent="0.3">
      <c r="A10" s="8" t="s">
        <v>97</v>
      </c>
      <c r="B10" s="14">
        <v>0.16500000000000001</v>
      </c>
      <c r="C10" s="15">
        <f>B10*0.6</f>
        <v>9.9000000000000005E-2</v>
      </c>
      <c r="D10" s="16" t="s">
        <v>98</v>
      </c>
    </row>
    <row r="11" spans="1:4" ht="14.25" customHeight="1" x14ac:dyDescent="0.3">
      <c r="A11" s="3" t="s">
        <v>99</v>
      </c>
      <c r="B11" s="3"/>
      <c r="C11" s="3"/>
      <c r="D11" s="2"/>
    </row>
    <row r="12" spans="1:4" ht="14.25" customHeight="1" x14ac:dyDescent="0.3">
      <c r="A12" s="8" t="s">
        <v>100</v>
      </c>
      <c r="B12" s="12">
        <v>100</v>
      </c>
      <c r="C12" s="12">
        <v>100</v>
      </c>
      <c r="D12" s="7" t="s">
        <v>101</v>
      </c>
    </row>
    <row r="13" spans="1:4" ht="14.25" customHeight="1" x14ac:dyDescent="0.3">
      <c r="A13" s="8" t="s">
        <v>102</v>
      </c>
      <c r="B13" s="11">
        <v>15</v>
      </c>
      <c r="C13" s="11">
        <v>10</v>
      </c>
      <c r="D13" s="7" t="s">
        <v>103</v>
      </c>
    </row>
    <row r="14" spans="1:4" ht="14.25" customHeight="1" x14ac:dyDescent="0.3">
      <c r="A14" s="8" t="s">
        <v>104</v>
      </c>
      <c r="B14" s="17">
        <f>B30*B31*B32</f>
        <v>56112</v>
      </c>
      <c r="C14" s="17">
        <f>C30*C31*C32</f>
        <v>56112</v>
      </c>
      <c r="D14" s="7" t="s">
        <v>105</v>
      </c>
    </row>
    <row r="15" spans="1:4" ht="14.25" customHeight="1" x14ac:dyDescent="0.3">
      <c r="A15" s="8" t="s">
        <v>106</v>
      </c>
      <c r="B15" s="11">
        <v>5.3</v>
      </c>
      <c r="C15" s="11">
        <v>1.33</v>
      </c>
      <c r="D15" s="18"/>
    </row>
    <row r="16" spans="1:4" ht="14.25" customHeight="1" x14ac:dyDescent="0.3">
      <c r="A16" s="8"/>
      <c r="B16" s="5"/>
      <c r="C16" s="5"/>
      <c r="D16" s="2"/>
    </row>
    <row r="17" spans="1:4" ht="14.25" customHeight="1" x14ac:dyDescent="0.3">
      <c r="A17" s="3" t="s">
        <v>107</v>
      </c>
      <c r="B17" s="3"/>
      <c r="C17" s="3"/>
      <c r="D17" s="2"/>
    </row>
    <row r="18" spans="1:4" ht="14.25" customHeight="1" x14ac:dyDescent="0.3">
      <c r="A18" s="3" t="s">
        <v>108</v>
      </c>
      <c r="B18" s="19"/>
      <c r="C18" s="19"/>
      <c r="D18" s="2"/>
    </row>
    <row r="19" spans="1:4" ht="14.25" customHeight="1" x14ac:dyDescent="0.3">
      <c r="A19" s="5" t="s">
        <v>109</v>
      </c>
      <c r="B19" s="9">
        <f>B12*B3</f>
        <v>6000000</v>
      </c>
      <c r="C19" s="9">
        <f>C12*C45</f>
        <v>13000000</v>
      </c>
      <c r="D19" s="7" t="s">
        <v>110</v>
      </c>
    </row>
    <row r="20" spans="1:4" ht="14.25" customHeight="1" x14ac:dyDescent="0.3">
      <c r="A20" s="8" t="s">
        <v>111</v>
      </c>
      <c r="B20" s="9">
        <f>B4</f>
        <v>620000</v>
      </c>
      <c r="C20" s="9">
        <f>C50</f>
        <v>425213</v>
      </c>
      <c r="D20" s="7" t="s">
        <v>112</v>
      </c>
    </row>
    <row r="21" spans="1:4" ht="14.25" customHeight="1" x14ac:dyDescent="0.3">
      <c r="A21" s="8" t="s">
        <v>113</v>
      </c>
      <c r="B21" s="17"/>
      <c r="C21" s="9">
        <f>C12*B39</f>
        <v>560000</v>
      </c>
      <c r="D21" s="7" t="s">
        <v>114</v>
      </c>
    </row>
    <row r="22" spans="1:4" ht="14.25" customHeight="1" x14ac:dyDescent="0.3">
      <c r="A22" s="8" t="s">
        <v>115</v>
      </c>
      <c r="B22" s="9">
        <f>SUM(B19:B20)</f>
        <v>6620000</v>
      </c>
      <c r="C22" s="9">
        <f>SUM(C19:C21)</f>
        <v>13985213</v>
      </c>
      <c r="D22" s="7" t="s">
        <v>116</v>
      </c>
    </row>
    <row r="23" spans="1:4" ht="14.25" customHeight="1" x14ac:dyDescent="0.3">
      <c r="A23" s="3" t="s">
        <v>117</v>
      </c>
      <c r="B23" s="19"/>
      <c r="C23" s="19"/>
      <c r="D23" s="2"/>
    </row>
    <row r="24" spans="1:4" ht="14.25" customHeight="1" x14ac:dyDescent="0.3">
      <c r="A24" s="8" t="s">
        <v>118</v>
      </c>
      <c r="B24" s="9">
        <f>+(B9/B15)*B12*B14</f>
        <v>1312809.0566037735</v>
      </c>
      <c r="C24" s="9">
        <f>+(C55/C15)*C12*C14</f>
        <v>295326.31578947371</v>
      </c>
      <c r="D24" s="7" t="s">
        <v>119</v>
      </c>
    </row>
    <row r="25" spans="1:4" ht="14.25" customHeight="1" x14ac:dyDescent="0.3">
      <c r="A25" s="8" t="s">
        <v>120</v>
      </c>
      <c r="B25" s="20">
        <f>+B10*B12*B14</f>
        <v>925848</v>
      </c>
      <c r="C25" s="20">
        <f>+C10*C12*C14</f>
        <v>555508.80000000005</v>
      </c>
      <c r="D25" s="7" t="s">
        <v>121</v>
      </c>
    </row>
    <row r="26" spans="1:4" ht="14.25" customHeight="1" x14ac:dyDescent="0.3">
      <c r="A26" s="8" t="s">
        <v>122</v>
      </c>
      <c r="B26" s="9">
        <f>SUM(B24:B25)</f>
        <v>2238657.0566037735</v>
      </c>
      <c r="C26" s="9">
        <f>SUM(C24:C25)</f>
        <v>850835.11578947376</v>
      </c>
      <c r="D26" s="7" t="s">
        <v>123</v>
      </c>
    </row>
    <row r="27" spans="1:4" ht="14.25" customHeight="1" x14ac:dyDescent="0.3">
      <c r="A27" s="8"/>
      <c r="B27" s="8"/>
      <c r="C27" s="8"/>
      <c r="D27" s="2"/>
    </row>
    <row r="28" spans="1:4" ht="14.25" customHeight="1" x14ac:dyDescent="0.3">
      <c r="A28" s="21"/>
      <c r="B28" s="21"/>
      <c r="C28" s="21"/>
      <c r="D28" s="2"/>
    </row>
    <row r="29" spans="1:4" ht="14.25" customHeight="1" x14ac:dyDescent="0.3">
      <c r="A29" s="3" t="s">
        <v>124</v>
      </c>
      <c r="B29" s="3"/>
      <c r="C29" s="3"/>
      <c r="D29" s="2"/>
    </row>
    <row r="30" spans="1:4" ht="14.25" customHeight="1" x14ac:dyDescent="0.3">
      <c r="A30" s="8" t="s">
        <v>125</v>
      </c>
      <c r="B30" s="11">
        <v>28</v>
      </c>
      <c r="C30" s="11">
        <v>28</v>
      </c>
      <c r="D30" s="7" t="s">
        <v>126</v>
      </c>
    </row>
    <row r="31" spans="1:4" ht="14.25" customHeight="1" x14ac:dyDescent="0.3">
      <c r="A31" s="8" t="s">
        <v>127</v>
      </c>
      <c r="B31" s="11">
        <v>12</v>
      </c>
      <c r="C31" s="11">
        <v>12</v>
      </c>
      <c r="D31" s="7" t="s">
        <v>128</v>
      </c>
    </row>
    <row r="32" spans="1:4" ht="14.25" customHeight="1" x14ac:dyDescent="0.3">
      <c r="A32" s="8" t="s">
        <v>129</v>
      </c>
      <c r="B32" s="11">
        <v>167</v>
      </c>
      <c r="C32" s="11">
        <v>167</v>
      </c>
      <c r="D32" s="7" t="s">
        <v>130</v>
      </c>
    </row>
    <row r="33" spans="1:4" ht="14.25" customHeight="1" x14ac:dyDescent="0.3">
      <c r="A33" s="2"/>
      <c r="B33" s="2"/>
      <c r="C33" s="2"/>
      <c r="D33" s="2"/>
    </row>
    <row r="34" spans="1:4" ht="14.25" customHeight="1" x14ac:dyDescent="0.3">
      <c r="A34" s="76" t="s">
        <v>131</v>
      </c>
      <c r="B34" s="77"/>
      <c r="C34" s="78"/>
      <c r="D34" s="2"/>
    </row>
    <row r="35" spans="1:4" ht="14.25" customHeight="1" x14ac:dyDescent="0.3">
      <c r="A35" s="22" t="s">
        <v>132</v>
      </c>
      <c r="B35" s="23">
        <v>70</v>
      </c>
      <c r="C35" s="22" t="s">
        <v>133</v>
      </c>
      <c r="D35" s="24" t="s">
        <v>134</v>
      </c>
    </row>
    <row r="36" spans="1:4" ht="14.25" customHeight="1" x14ac:dyDescent="0.3">
      <c r="A36" s="8" t="s">
        <v>135</v>
      </c>
      <c r="B36" s="12">
        <v>200</v>
      </c>
      <c r="C36" s="8" t="s">
        <v>136</v>
      </c>
      <c r="D36" s="2"/>
    </row>
    <row r="37" spans="1:4" ht="14.25" customHeight="1" x14ac:dyDescent="0.3">
      <c r="A37" s="8" t="s">
        <v>137</v>
      </c>
      <c r="B37" s="25">
        <v>0.6</v>
      </c>
      <c r="C37" s="8" t="s">
        <v>138</v>
      </c>
      <c r="D37" s="2"/>
    </row>
    <row r="38" spans="1:4" ht="14.25" customHeight="1" x14ac:dyDescent="0.3">
      <c r="A38" s="8" t="s">
        <v>139</v>
      </c>
      <c r="B38" s="6">
        <f>B36*(1-B37)</f>
        <v>80</v>
      </c>
      <c r="C38" s="8" t="s">
        <v>140</v>
      </c>
      <c r="D38" s="7" t="s">
        <v>141</v>
      </c>
    </row>
    <row r="39" spans="1:4" ht="14.25" customHeight="1" x14ac:dyDescent="0.3">
      <c r="A39" s="8" t="s">
        <v>142</v>
      </c>
      <c r="B39" s="9">
        <f>B35*B38</f>
        <v>5600</v>
      </c>
      <c r="C39" s="8"/>
      <c r="D39" s="7" t="s">
        <v>143</v>
      </c>
    </row>
    <row r="40" spans="1:4" ht="14.25" customHeight="1" x14ac:dyDescent="0.3">
      <c r="A40" s="74" t="s">
        <v>144</v>
      </c>
      <c r="B40" s="70"/>
      <c r="C40" s="75"/>
      <c r="D40" s="7" t="s">
        <v>145</v>
      </c>
    </row>
    <row r="41" spans="1:4" ht="14.25" customHeight="1" x14ac:dyDescent="0.3">
      <c r="A41" s="74" t="s">
        <v>146</v>
      </c>
      <c r="B41" s="70"/>
      <c r="C41" s="75"/>
    </row>
    <row r="42" spans="1:4" ht="14.25" customHeight="1" x14ac:dyDescent="0.3">
      <c r="A42" s="5" t="s">
        <v>147</v>
      </c>
      <c r="B42" s="9">
        <f>B3</f>
        <v>60000</v>
      </c>
      <c r="C42" s="9">
        <f>C3</f>
        <v>140000</v>
      </c>
      <c r="D42" s="7" t="s">
        <v>148</v>
      </c>
    </row>
    <row r="43" spans="1:4" ht="14.25" customHeight="1" x14ac:dyDescent="0.3">
      <c r="A43" s="5" t="s">
        <v>149</v>
      </c>
      <c r="B43" s="67"/>
      <c r="C43" s="6">
        <v>10000</v>
      </c>
      <c r="D43" s="7" t="s">
        <v>150</v>
      </c>
    </row>
    <row r="44" spans="1:4" ht="14.25" customHeight="1" x14ac:dyDescent="0.3">
      <c r="A44" s="5" t="s">
        <v>151</v>
      </c>
      <c r="B44" s="9">
        <f>B43*B12</f>
        <v>0</v>
      </c>
      <c r="C44" s="9">
        <f>C43*C12</f>
        <v>1000000</v>
      </c>
      <c r="D44" s="7" t="s">
        <v>152</v>
      </c>
    </row>
    <row r="45" spans="1:4" ht="14.25" customHeight="1" x14ac:dyDescent="0.3">
      <c r="A45" s="5" t="s">
        <v>153</v>
      </c>
      <c r="B45" s="9">
        <f>MAX(0,B42-B43)</f>
        <v>60000</v>
      </c>
      <c r="C45" s="9">
        <f>MAX(0,C42-C43)</f>
        <v>130000</v>
      </c>
      <c r="D45" s="7" t="s">
        <v>154</v>
      </c>
    </row>
    <row r="46" spans="1:4" ht="14.25" customHeight="1" x14ac:dyDescent="0.3"/>
    <row r="47" spans="1:4" ht="14.25" customHeight="1" x14ac:dyDescent="0.3">
      <c r="A47" s="74" t="s">
        <v>155</v>
      </c>
      <c r="B47" s="70"/>
      <c r="C47" s="75"/>
    </row>
    <row r="48" spans="1:4" ht="14.25" customHeight="1" x14ac:dyDescent="0.3">
      <c r="A48" s="5" t="s">
        <v>156</v>
      </c>
      <c r="B48" s="9">
        <f>B4</f>
        <v>620000</v>
      </c>
      <c r="C48" s="9">
        <f>C4</f>
        <v>425213</v>
      </c>
      <c r="D48" s="7" t="s">
        <v>157</v>
      </c>
    </row>
    <row r="49" spans="1:4" ht="14.25" customHeight="1" x14ac:dyDescent="0.3">
      <c r="A49" s="5" t="s">
        <v>158</v>
      </c>
      <c r="B49" s="67"/>
      <c r="C49" s="6">
        <v>0</v>
      </c>
      <c r="D49" s="7" t="s">
        <v>159</v>
      </c>
    </row>
    <row r="50" spans="1:4" ht="14.25" customHeight="1" x14ac:dyDescent="0.3">
      <c r="A50" s="5" t="s">
        <v>160</v>
      </c>
      <c r="B50" s="9">
        <f>MAX(0,B48-B49)</f>
        <v>620000</v>
      </c>
      <c r="C50" s="9">
        <f>MAX(0,C48-C49)</f>
        <v>425213</v>
      </c>
      <c r="D50" s="7" t="s">
        <v>161</v>
      </c>
    </row>
    <row r="51" spans="1:4" ht="14.25" customHeight="1" x14ac:dyDescent="0.3"/>
    <row r="52" spans="1:4" ht="14.25" customHeight="1" x14ac:dyDescent="0.3">
      <c r="A52" s="74" t="s">
        <v>162</v>
      </c>
      <c r="B52" s="70"/>
      <c r="C52" s="75"/>
    </row>
    <row r="53" spans="1:4" ht="14.25" customHeight="1" x14ac:dyDescent="0.3">
      <c r="A53" s="5" t="s">
        <v>163</v>
      </c>
      <c r="B53" s="15">
        <f>B9</f>
        <v>1.24</v>
      </c>
      <c r="C53" s="15">
        <f>C9</f>
        <v>7.0000000000000007E-2</v>
      </c>
      <c r="D53" s="7" t="s">
        <v>164</v>
      </c>
    </row>
    <row r="54" spans="1:4" ht="14.25" customHeight="1" x14ac:dyDescent="0.3">
      <c r="A54" s="5" t="s">
        <v>165</v>
      </c>
      <c r="B54" s="68"/>
      <c r="C54" s="14">
        <v>0</v>
      </c>
      <c r="D54" s="7" t="s">
        <v>166</v>
      </c>
    </row>
    <row r="55" spans="1:4" ht="14.25" customHeight="1" x14ac:dyDescent="0.3">
      <c r="A55" s="5" t="s">
        <v>167</v>
      </c>
      <c r="B55" s="15">
        <f>MAX(0,B53-B54)</f>
        <v>1.24</v>
      </c>
      <c r="C55" s="15">
        <f>MAX(0,C53-C54)</f>
        <v>7.0000000000000007E-2</v>
      </c>
      <c r="D55" s="7" t="s">
        <v>168</v>
      </c>
    </row>
    <row r="56" spans="1:4" ht="14.25" customHeight="1" x14ac:dyDescent="0.3"/>
    <row r="57" spans="1:4" ht="14.25" customHeight="1" x14ac:dyDescent="0.3"/>
    <row r="58" spans="1:4" ht="14.25" customHeight="1" x14ac:dyDescent="0.3"/>
    <row r="59" spans="1:4" ht="14.25" customHeight="1" x14ac:dyDescent="0.3"/>
    <row r="60" spans="1:4" ht="14.25" customHeight="1" x14ac:dyDescent="0.3"/>
    <row r="61" spans="1:4" ht="14.25" customHeight="1" x14ac:dyDescent="0.3"/>
    <row r="62" spans="1:4" ht="14.25" customHeight="1" x14ac:dyDescent="0.3"/>
    <row r="63" spans="1:4" ht="14.25" customHeight="1" x14ac:dyDescent="0.3"/>
    <row r="64" spans="1: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41:C41"/>
    <mergeCell ref="A47:C47"/>
    <mergeCell ref="A40:C40"/>
    <mergeCell ref="A34:C34"/>
    <mergeCell ref="A52:C5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topLeftCell="A4" workbookViewId="0">
      <selection activeCell="E15" sqref="E15"/>
    </sheetView>
  </sheetViews>
  <sheetFormatPr defaultColWidth="12.5546875" defaultRowHeight="15" customHeight="1" x14ac:dyDescent="0.3"/>
  <cols>
    <col min="1" max="1" width="47" customWidth="1"/>
    <col min="2" max="2" width="18.33203125" customWidth="1"/>
    <col min="3" max="3" width="30.44140625" customWidth="1"/>
    <col min="4" max="4" width="69.44140625" customWidth="1"/>
    <col min="5" max="12" width="8.5546875" customWidth="1"/>
  </cols>
  <sheetData>
    <row r="1" spans="1:12" ht="14.25" customHeight="1" x14ac:dyDescent="0.3">
      <c r="A1" s="69" t="s">
        <v>169</v>
      </c>
      <c r="B1" s="70"/>
      <c r="C1" s="70"/>
      <c r="D1" s="70"/>
      <c r="E1" s="70"/>
      <c r="F1" s="70"/>
      <c r="G1" s="70"/>
      <c r="H1" s="70"/>
      <c r="I1" s="70"/>
      <c r="J1" s="70"/>
      <c r="K1" s="70"/>
      <c r="L1" s="70"/>
    </row>
    <row r="2" spans="1:12" ht="14.25" customHeight="1" x14ac:dyDescent="0.3"/>
    <row r="3" spans="1:12" ht="14.25" customHeight="1" x14ac:dyDescent="0.3">
      <c r="A3" s="26" t="s">
        <v>170</v>
      </c>
      <c r="B3" s="27" t="s">
        <v>171</v>
      </c>
      <c r="C3" s="27" t="s">
        <v>172</v>
      </c>
      <c r="D3" s="26" t="s">
        <v>81</v>
      </c>
    </row>
    <row r="4" spans="1:12" ht="14.25" customHeight="1" x14ac:dyDescent="0.3">
      <c r="A4" s="8" t="s">
        <v>173</v>
      </c>
      <c r="B4" s="17">
        <f>'Basic Inputs'!B12</f>
        <v>100</v>
      </c>
      <c r="C4" s="17">
        <f>'Basic Inputs'!C12</f>
        <v>100</v>
      </c>
      <c r="D4" s="28" t="s">
        <v>174</v>
      </c>
    </row>
    <row r="5" spans="1:12" ht="14.25" customHeight="1" x14ac:dyDescent="0.3">
      <c r="A5" s="8" t="s">
        <v>175</v>
      </c>
      <c r="B5" s="6">
        <v>620000</v>
      </c>
      <c r="C5" s="8" t="s">
        <v>87</v>
      </c>
      <c r="D5" s="28" t="s">
        <v>176</v>
      </c>
    </row>
    <row r="6" spans="1:12" ht="14.25" customHeight="1" x14ac:dyDescent="0.3">
      <c r="A6" s="8" t="s">
        <v>177</v>
      </c>
      <c r="B6" s="8" t="s">
        <v>87</v>
      </c>
      <c r="C6" s="11" t="s">
        <v>178</v>
      </c>
      <c r="D6" s="28" t="s">
        <v>179</v>
      </c>
    </row>
    <row r="7" spans="1:12" ht="14.25" customHeight="1" x14ac:dyDescent="0.3">
      <c r="A7" s="8" t="s">
        <v>180</v>
      </c>
      <c r="B7" s="8" t="s">
        <v>87</v>
      </c>
      <c r="C7" s="11">
        <v>70</v>
      </c>
      <c r="D7" s="29" t="s">
        <v>181</v>
      </c>
    </row>
    <row r="8" spans="1:12" ht="14.25" customHeight="1" x14ac:dyDescent="0.3">
      <c r="A8" s="8" t="s">
        <v>182</v>
      </c>
      <c r="B8" s="8" t="s">
        <v>87</v>
      </c>
      <c r="C8" s="11">
        <v>200</v>
      </c>
      <c r="D8" s="28" t="s">
        <v>183</v>
      </c>
    </row>
    <row r="9" spans="1:12" ht="14.25" customHeight="1" x14ac:dyDescent="0.3">
      <c r="A9" s="8" t="s">
        <v>184</v>
      </c>
      <c r="B9" s="8" t="s">
        <v>87</v>
      </c>
      <c r="C9" s="17">
        <f>C7/(C8*0.95)+0.17</f>
        <v>0.53842105263157891</v>
      </c>
      <c r="D9" s="29" t="s">
        <v>185</v>
      </c>
    </row>
    <row r="10" spans="1:12" ht="14.25" customHeight="1" x14ac:dyDescent="0.3">
      <c r="A10" s="8" t="s">
        <v>186</v>
      </c>
      <c r="B10" s="8" t="s">
        <v>87</v>
      </c>
      <c r="C10" s="11">
        <v>6</v>
      </c>
      <c r="D10" s="28" t="s">
        <v>187</v>
      </c>
    </row>
    <row r="11" spans="1:12" ht="14.25" customHeight="1" x14ac:dyDescent="0.3">
      <c r="A11" s="8" t="s">
        <v>188</v>
      </c>
      <c r="B11" s="8" t="s">
        <v>87</v>
      </c>
      <c r="C11" s="30">
        <f>C10/C9</f>
        <v>11.143695014662757</v>
      </c>
      <c r="D11" s="28" t="s">
        <v>189</v>
      </c>
    </row>
    <row r="12" spans="1:12" ht="14.25" customHeight="1" x14ac:dyDescent="0.3">
      <c r="A12" s="8" t="s">
        <v>190</v>
      </c>
      <c r="B12" s="8" t="s">
        <v>87</v>
      </c>
      <c r="C12" s="17">
        <f>ROUNDUP(C4/C11,0)</f>
        <v>9</v>
      </c>
      <c r="D12" s="28" t="s">
        <v>191</v>
      </c>
    </row>
    <row r="13" spans="1:12" ht="14.25" customHeight="1" x14ac:dyDescent="0.3">
      <c r="A13" s="8" t="s">
        <v>192</v>
      </c>
      <c r="B13" s="8" t="s">
        <v>87</v>
      </c>
      <c r="C13" s="31">
        <v>12000</v>
      </c>
      <c r="D13" s="28" t="s">
        <v>193</v>
      </c>
    </row>
    <row r="14" spans="1:12" ht="14.25" customHeight="1" x14ac:dyDescent="0.3">
      <c r="A14" s="8" t="s">
        <v>194</v>
      </c>
      <c r="B14" s="8" t="s">
        <v>87</v>
      </c>
      <c r="C14" s="21">
        <v>6</v>
      </c>
      <c r="D14" s="28" t="s">
        <v>195</v>
      </c>
    </row>
    <row r="15" spans="1:12" ht="14.25" customHeight="1" x14ac:dyDescent="0.3">
      <c r="A15" s="8" t="s">
        <v>196</v>
      </c>
      <c r="B15" s="8" t="s">
        <v>87</v>
      </c>
      <c r="C15" s="17">
        <f>ROUNDUP(C12/C14,0)</f>
        <v>2</v>
      </c>
      <c r="D15" s="28" t="s">
        <v>528</v>
      </c>
      <c r="E15" s="89"/>
    </row>
    <row r="16" spans="1:12" ht="14.25" customHeight="1" x14ac:dyDescent="0.3">
      <c r="A16" s="8" t="s">
        <v>197</v>
      </c>
      <c r="B16" s="8" t="s">
        <v>87</v>
      </c>
      <c r="C16" s="9">
        <f>C20+C21</f>
        <v>126175</v>
      </c>
      <c r="D16" s="28" t="s">
        <v>198</v>
      </c>
    </row>
    <row r="17" spans="1:4" ht="14.25" customHeight="1" x14ac:dyDescent="0.3">
      <c r="A17" s="8" t="s">
        <v>199</v>
      </c>
      <c r="B17" s="8"/>
      <c r="C17" s="31">
        <v>7453</v>
      </c>
      <c r="D17" s="29" t="s">
        <v>200</v>
      </c>
    </row>
    <row r="18" spans="1:4" ht="14.25" customHeight="1" x14ac:dyDescent="0.3">
      <c r="A18" s="8" t="s">
        <v>201</v>
      </c>
      <c r="B18" s="8"/>
      <c r="C18" s="9">
        <f>C17*C15</f>
        <v>14906</v>
      </c>
      <c r="D18" s="28" t="s">
        <v>202</v>
      </c>
    </row>
    <row r="19" spans="1:4" ht="14.25" customHeight="1" x14ac:dyDescent="0.3">
      <c r="A19" s="8" t="s">
        <v>203</v>
      </c>
      <c r="B19" s="8"/>
      <c r="C19" s="9">
        <f>C18*12</f>
        <v>178872</v>
      </c>
      <c r="D19" s="28" t="s">
        <v>204</v>
      </c>
    </row>
    <row r="20" spans="1:4" ht="14.25" customHeight="1" x14ac:dyDescent="0.3">
      <c r="A20" s="8" t="s">
        <v>205</v>
      </c>
      <c r="B20" s="8"/>
      <c r="C20" s="31">
        <v>40807</v>
      </c>
      <c r="D20" s="28" t="s">
        <v>206</v>
      </c>
    </row>
    <row r="21" spans="1:4" ht="14.25" customHeight="1" x14ac:dyDescent="0.3">
      <c r="A21" s="8" t="s">
        <v>207</v>
      </c>
      <c r="B21" s="8"/>
      <c r="C21" s="31">
        <v>85368</v>
      </c>
      <c r="D21" s="28" t="s">
        <v>208</v>
      </c>
    </row>
    <row r="22" spans="1:4" ht="14.25" customHeight="1" x14ac:dyDescent="0.3">
      <c r="A22" s="8"/>
      <c r="B22" s="8"/>
      <c r="C22" s="32"/>
      <c r="D22" s="28"/>
    </row>
    <row r="23" spans="1:4" ht="14.25" customHeight="1" x14ac:dyDescent="0.3">
      <c r="A23" s="8" t="s">
        <v>209</v>
      </c>
      <c r="B23" s="8" t="s">
        <v>87</v>
      </c>
      <c r="C23" s="9">
        <f>C12*C13+C15*C16</f>
        <v>360350</v>
      </c>
      <c r="D23" s="28" t="s">
        <v>210</v>
      </c>
    </row>
    <row r="24" spans="1:4" ht="14.25" customHeight="1" x14ac:dyDescent="0.3">
      <c r="A24" s="8" t="s">
        <v>211</v>
      </c>
      <c r="B24" s="8" t="s">
        <v>87</v>
      </c>
      <c r="C24" s="9">
        <f>C23*0.18</f>
        <v>64863</v>
      </c>
      <c r="D24" s="28" t="s">
        <v>212</v>
      </c>
    </row>
    <row r="25" spans="1:4" ht="14.25" customHeight="1" x14ac:dyDescent="0.3">
      <c r="A25" s="33" t="s">
        <v>213</v>
      </c>
      <c r="B25" s="34">
        <f>B5</f>
        <v>620000</v>
      </c>
      <c r="C25" s="34">
        <f>SUM(C23:C24)</f>
        <v>425213</v>
      </c>
      <c r="D25" s="28" t="s">
        <v>214</v>
      </c>
    </row>
    <row r="26" spans="1:4" ht="14.25" customHeight="1" x14ac:dyDescent="0.3"/>
    <row r="27" spans="1:4" ht="14.25" customHeight="1" x14ac:dyDescent="0.3"/>
    <row r="28" spans="1:4" ht="14.25" customHeight="1" x14ac:dyDescent="0.3"/>
    <row r="29" spans="1:4" ht="14.25" customHeight="1" x14ac:dyDescent="0.3"/>
    <row r="30" spans="1:4" ht="14.25" customHeight="1" x14ac:dyDescent="0.3"/>
    <row r="31" spans="1:4" ht="14.25" customHeight="1" x14ac:dyDescent="0.3"/>
    <row r="32" spans="1: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1:L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96"/>
  <sheetViews>
    <sheetView topLeftCell="A36" workbookViewId="0">
      <selection activeCell="B4" sqref="B4"/>
    </sheetView>
  </sheetViews>
  <sheetFormatPr defaultColWidth="12.5546875" defaultRowHeight="15" customHeight="1" x14ac:dyDescent="0.3"/>
  <cols>
    <col min="1" max="3" width="28.44140625" customWidth="1"/>
    <col min="4" max="4" width="66.44140625" customWidth="1"/>
    <col min="5" max="14" width="28.44140625" customWidth="1"/>
  </cols>
  <sheetData>
    <row r="1" spans="1:4" ht="14.25" customHeight="1" x14ac:dyDescent="0.3">
      <c r="A1" s="3" t="s">
        <v>108</v>
      </c>
      <c r="B1" s="3"/>
      <c r="C1" s="3"/>
      <c r="D1" s="26"/>
    </row>
    <row r="2" spans="1:4" ht="14.25" customHeight="1" x14ac:dyDescent="0.3">
      <c r="A2" s="8" t="s">
        <v>215</v>
      </c>
      <c r="B2" s="9">
        <f>'Basic Inputs'!B3</f>
        <v>60000</v>
      </c>
      <c r="C2" s="8"/>
      <c r="D2" s="28" t="s">
        <v>216</v>
      </c>
    </row>
    <row r="3" spans="1:4" ht="14.25" customHeight="1" x14ac:dyDescent="0.3">
      <c r="A3" s="8" t="s">
        <v>217</v>
      </c>
      <c r="B3" s="9">
        <f>'Basic Inputs'!B4</f>
        <v>620000</v>
      </c>
      <c r="C3" s="8"/>
      <c r="D3" s="28" t="s">
        <v>218</v>
      </c>
    </row>
    <row r="4" spans="1:4" ht="14.25" customHeight="1" x14ac:dyDescent="0.3">
      <c r="A4" s="8" t="s">
        <v>219</v>
      </c>
      <c r="B4" s="17">
        <f>'Basic Inputs'!B12</f>
        <v>100</v>
      </c>
      <c r="C4" s="8"/>
      <c r="D4" s="28" t="s">
        <v>220</v>
      </c>
    </row>
    <row r="5" spans="1:4" ht="14.25" customHeight="1" x14ac:dyDescent="0.3">
      <c r="A5" s="5" t="s">
        <v>221</v>
      </c>
      <c r="B5" s="35">
        <v>0.25</v>
      </c>
      <c r="C5" s="11" t="s">
        <v>222</v>
      </c>
      <c r="D5" s="28" t="s">
        <v>223</v>
      </c>
    </row>
    <row r="6" spans="1:4" ht="14.25" customHeight="1" x14ac:dyDescent="0.3">
      <c r="A6" s="8" t="s">
        <v>224</v>
      </c>
      <c r="B6" s="36">
        <v>0.1588</v>
      </c>
      <c r="C6" s="11" t="s">
        <v>225</v>
      </c>
      <c r="D6" s="28" t="s">
        <v>226</v>
      </c>
    </row>
    <row r="7" spans="1:4" ht="14.25" customHeight="1" x14ac:dyDescent="0.3">
      <c r="A7" s="8" t="s">
        <v>227</v>
      </c>
      <c r="B7" s="21">
        <v>10</v>
      </c>
      <c r="C7" s="11" t="s">
        <v>225</v>
      </c>
      <c r="D7" s="28" t="s">
        <v>228</v>
      </c>
    </row>
    <row r="8" spans="1:4" ht="14.25" customHeight="1" x14ac:dyDescent="0.3">
      <c r="A8" s="8" t="s">
        <v>229</v>
      </c>
      <c r="B8" s="37">
        <f>'Basic Inputs'!B7</f>
        <v>0.03</v>
      </c>
      <c r="C8" s="8"/>
      <c r="D8" s="28" t="s">
        <v>230</v>
      </c>
    </row>
    <row r="9" spans="1:4" ht="14.25" customHeight="1" x14ac:dyDescent="0.3">
      <c r="A9" s="8" t="s">
        <v>231</v>
      </c>
      <c r="B9" s="38">
        <f>B6-0.02</f>
        <v>0.13880000000000001</v>
      </c>
      <c r="C9" s="8" t="s">
        <v>225</v>
      </c>
      <c r="D9" s="28" t="s">
        <v>232</v>
      </c>
    </row>
    <row r="10" spans="1:4" ht="14.25" customHeight="1" x14ac:dyDescent="0.3">
      <c r="A10" s="8" t="s">
        <v>233</v>
      </c>
      <c r="B10" s="11">
        <v>10</v>
      </c>
      <c r="C10" s="11" t="s">
        <v>225</v>
      </c>
      <c r="D10" s="28" t="s">
        <v>234</v>
      </c>
    </row>
    <row r="11" spans="1:4" ht="14.25" customHeight="1" x14ac:dyDescent="0.3">
      <c r="A11" s="8" t="s">
        <v>235</v>
      </c>
      <c r="B11" s="39">
        <v>2.5000000000000001E-3</v>
      </c>
      <c r="C11" s="11" t="s">
        <v>225</v>
      </c>
      <c r="D11" s="28" t="s">
        <v>236</v>
      </c>
    </row>
    <row r="12" spans="1:4" ht="14.25" customHeight="1" x14ac:dyDescent="0.3">
      <c r="A12" s="3" t="s">
        <v>117</v>
      </c>
      <c r="B12" s="3"/>
      <c r="C12" s="3"/>
      <c r="D12" s="28"/>
    </row>
    <row r="13" spans="1:4" ht="14.25" customHeight="1" x14ac:dyDescent="0.3">
      <c r="A13" s="40" t="s">
        <v>237</v>
      </c>
      <c r="B13" s="17">
        <f>'Basic Inputs'!B14</f>
        <v>56112</v>
      </c>
      <c r="C13" s="40"/>
      <c r="D13" s="28" t="s">
        <v>238</v>
      </c>
    </row>
    <row r="14" spans="1:4" ht="14.25" customHeight="1" x14ac:dyDescent="0.3">
      <c r="A14" s="40" t="s">
        <v>239</v>
      </c>
      <c r="B14" s="9">
        <f>'Basic Inputs'!B9</f>
        <v>1.24</v>
      </c>
      <c r="C14" s="40"/>
      <c r="D14" s="28" t="s">
        <v>240</v>
      </c>
    </row>
    <row r="15" spans="1:4" ht="14.25" customHeight="1" x14ac:dyDescent="0.3">
      <c r="A15" s="40" t="s">
        <v>241</v>
      </c>
      <c r="B15" s="39">
        <v>5.8400000000000001E-2</v>
      </c>
      <c r="C15" s="11" t="s">
        <v>225</v>
      </c>
      <c r="D15" s="28" t="s">
        <v>242</v>
      </c>
    </row>
    <row r="16" spans="1:4" ht="14.25" customHeight="1" x14ac:dyDescent="0.3">
      <c r="A16" s="40" t="s">
        <v>243</v>
      </c>
      <c r="B16" s="17">
        <f>'Basic Inputs'!B15</f>
        <v>5.3</v>
      </c>
      <c r="C16" s="40"/>
      <c r="D16" s="28" t="s">
        <v>244</v>
      </c>
    </row>
    <row r="17" spans="1:13" ht="14.25" customHeight="1" x14ac:dyDescent="0.3">
      <c r="A17" s="40" t="s">
        <v>245</v>
      </c>
      <c r="B17" s="15">
        <f>'Basic Inputs'!B10</f>
        <v>0.16500000000000001</v>
      </c>
      <c r="C17" s="40"/>
      <c r="D17" s="28" t="s">
        <v>246</v>
      </c>
    </row>
    <row r="18" spans="1:13" ht="14.25" customHeight="1" x14ac:dyDescent="0.3">
      <c r="A18" s="40" t="s">
        <v>247</v>
      </c>
      <c r="B18" s="41">
        <v>6.3E-2</v>
      </c>
      <c r="C18" s="11" t="s">
        <v>225</v>
      </c>
      <c r="D18" s="28" t="s">
        <v>248</v>
      </c>
    </row>
    <row r="19" spans="1:13" ht="14.25" customHeight="1" x14ac:dyDescent="0.3">
      <c r="D19" s="42"/>
    </row>
    <row r="20" spans="1:13" ht="14.25" customHeight="1" x14ac:dyDescent="0.3">
      <c r="A20" s="3" t="s">
        <v>249</v>
      </c>
      <c r="B20" s="3"/>
      <c r="C20" s="3" t="s">
        <v>250</v>
      </c>
      <c r="D20" s="3"/>
    </row>
    <row r="21" spans="1:13" ht="14.25" customHeight="1" x14ac:dyDescent="0.3">
      <c r="A21" s="8" t="s">
        <v>251</v>
      </c>
      <c r="B21" s="32">
        <f>(B2*B4)-(B2*B4*B5)</f>
        <v>4500000</v>
      </c>
      <c r="C21" s="8" t="s">
        <v>251</v>
      </c>
      <c r="D21" s="32">
        <f>B3</f>
        <v>620000</v>
      </c>
    </row>
    <row r="22" spans="1:13" ht="14.25" customHeight="1" x14ac:dyDescent="0.3">
      <c r="A22" s="8" t="s">
        <v>252</v>
      </c>
      <c r="B22" s="32">
        <f>+-PMT(B6,B10,B21)</f>
        <v>926898.74624715059</v>
      </c>
      <c r="C22" s="8" t="s">
        <v>253</v>
      </c>
      <c r="D22" s="32">
        <f>+-PMT(B9,B10,D21)</f>
        <v>118306.25186235676</v>
      </c>
    </row>
    <row r="23" spans="1:13" ht="14.25" customHeight="1" x14ac:dyDescent="0.3"/>
    <row r="24" spans="1:13" ht="14.25" customHeight="1" x14ac:dyDescent="0.3">
      <c r="A24" s="3" t="s">
        <v>254</v>
      </c>
      <c r="B24" s="3" t="s">
        <v>255</v>
      </c>
      <c r="C24" s="3" t="s">
        <v>256</v>
      </c>
      <c r="D24" s="3" t="s">
        <v>257</v>
      </c>
      <c r="E24" s="3" t="s">
        <v>258</v>
      </c>
      <c r="F24" s="3" t="s">
        <v>259</v>
      </c>
      <c r="G24" s="3" t="s">
        <v>260</v>
      </c>
      <c r="H24" s="3" t="s">
        <v>261</v>
      </c>
      <c r="I24" s="3" t="s">
        <v>262</v>
      </c>
      <c r="J24" s="3" t="s">
        <v>263</v>
      </c>
      <c r="K24" s="3" t="s">
        <v>264</v>
      </c>
      <c r="L24" s="3" t="s">
        <v>265</v>
      </c>
      <c r="M24" s="3" t="s">
        <v>266</v>
      </c>
    </row>
    <row r="25" spans="1:13" ht="14.25" customHeight="1" x14ac:dyDescent="0.3">
      <c r="A25" s="8" t="s">
        <v>267</v>
      </c>
      <c r="B25" s="8"/>
      <c r="C25" s="32">
        <f>B21</f>
        <v>4500000</v>
      </c>
      <c r="D25" s="32">
        <f t="shared" ref="D25:L25" si="0">C29</f>
        <v>4287701.2537528491</v>
      </c>
      <c r="E25" s="32">
        <f t="shared" si="0"/>
        <v>4041689.4666016512</v>
      </c>
      <c r="F25" s="32">
        <f t="shared" si="0"/>
        <v>3756611.0076508429</v>
      </c>
      <c r="G25" s="32">
        <f t="shared" si="0"/>
        <v>3426262.0894186459</v>
      </c>
      <c r="H25" s="32">
        <f t="shared" si="0"/>
        <v>3043453.7629711763</v>
      </c>
      <c r="I25" s="32">
        <f t="shared" si="0"/>
        <v>2599855.4742838484</v>
      </c>
      <c r="J25" s="32">
        <f t="shared" si="0"/>
        <v>2085813.7773529729</v>
      </c>
      <c r="K25" s="32">
        <f t="shared" si="0"/>
        <v>1490142.2589494744</v>
      </c>
      <c r="L25" s="32">
        <f t="shared" si="0"/>
        <v>799878.10342350043</v>
      </c>
      <c r="M25" s="8"/>
    </row>
    <row r="26" spans="1:13" ht="14.25" customHeight="1" x14ac:dyDescent="0.3">
      <c r="A26" s="8" t="s">
        <v>268</v>
      </c>
      <c r="B26" s="8"/>
      <c r="C26" s="32">
        <f t="shared" ref="C26:L26" si="1">$B$22</f>
        <v>926898.74624715059</v>
      </c>
      <c r="D26" s="32">
        <f t="shared" si="1"/>
        <v>926898.74624715059</v>
      </c>
      <c r="E26" s="32">
        <f t="shared" si="1"/>
        <v>926898.74624715059</v>
      </c>
      <c r="F26" s="32">
        <f t="shared" si="1"/>
        <v>926898.74624715059</v>
      </c>
      <c r="G26" s="32">
        <f t="shared" si="1"/>
        <v>926898.74624715059</v>
      </c>
      <c r="H26" s="32">
        <f t="shared" si="1"/>
        <v>926898.74624715059</v>
      </c>
      <c r="I26" s="32">
        <f t="shared" si="1"/>
        <v>926898.74624715059</v>
      </c>
      <c r="J26" s="32">
        <f t="shared" si="1"/>
        <v>926898.74624715059</v>
      </c>
      <c r="K26" s="32">
        <f t="shared" si="1"/>
        <v>926898.74624715059</v>
      </c>
      <c r="L26" s="32">
        <f t="shared" si="1"/>
        <v>926898.74624715059</v>
      </c>
      <c r="M26" s="32">
        <f>+SUM(C26:L26)+B28+M31</f>
        <v>9268987.4624715075</v>
      </c>
    </row>
    <row r="27" spans="1:13" ht="14.25" customHeight="1" x14ac:dyDescent="0.3">
      <c r="A27" s="8" t="s">
        <v>269</v>
      </c>
      <c r="B27" s="8"/>
      <c r="C27" s="32">
        <f t="shared" ref="C27:L27" si="2">C25*$B$6</f>
        <v>714600</v>
      </c>
      <c r="D27" s="32">
        <f t="shared" si="2"/>
        <v>680886.95909595245</v>
      </c>
      <c r="E27" s="32">
        <f t="shared" si="2"/>
        <v>641820.2872963422</v>
      </c>
      <c r="F27" s="32">
        <f t="shared" si="2"/>
        <v>596549.82801495388</v>
      </c>
      <c r="G27" s="32">
        <f t="shared" si="2"/>
        <v>544090.41979968094</v>
      </c>
      <c r="H27" s="32">
        <f t="shared" si="2"/>
        <v>483300.45755982277</v>
      </c>
      <c r="I27" s="32">
        <f t="shared" si="2"/>
        <v>412857.04931627511</v>
      </c>
      <c r="J27" s="32">
        <f t="shared" si="2"/>
        <v>331227.22784365207</v>
      </c>
      <c r="K27" s="32">
        <f t="shared" si="2"/>
        <v>236634.59072117653</v>
      </c>
      <c r="L27" s="32">
        <f t="shared" si="2"/>
        <v>127020.64282365187</v>
      </c>
      <c r="M27" s="32">
        <f>SUM(C27:L27)</f>
        <v>4768987.4624715075</v>
      </c>
    </row>
    <row r="28" spans="1:13" ht="14.25" customHeight="1" x14ac:dyDescent="0.3">
      <c r="A28" s="8" t="s">
        <v>270</v>
      </c>
      <c r="B28" s="32">
        <f>B2*B4*B5</f>
        <v>1500000</v>
      </c>
      <c r="C28" s="32">
        <f t="shared" ref="C28:L28" si="3">C26-C27</f>
        <v>212298.74624715059</v>
      </c>
      <c r="D28" s="32">
        <f t="shared" si="3"/>
        <v>246011.78715119814</v>
      </c>
      <c r="E28" s="32">
        <f t="shared" si="3"/>
        <v>285078.45895080839</v>
      </c>
      <c r="F28" s="32">
        <f t="shared" si="3"/>
        <v>330348.91823219671</v>
      </c>
      <c r="G28" s="32">
        <f t="shared" si="3"/>
        <v>382808.32644746965</v>
      </c>
      <c r="H28" s="32">
        <f t="shared" si="3"/>
        <v>443598.28868732782</v>
      </c>
      <c r="I28" s="32">
        <f t="shared" si="3"/>
        <v>514041.69693087548</v>
      </c>
      <c r="J28" s="32">
        <f t="shared" si="3"/>
        <v>595671.51840349846</v>
      </c>
      <c r="K28" s="32">
        <f t="shared" si="3"/>
        <v>690264.155525974</v>
      </c>
      <c r="L28" s="32">
        <f t="shared" si="3"/>
        <v>799878.10342349869</v>
      </c>
      <c r="M28" s="32">
        <f>SUM(C28:L28)</f>
        <v>4499999.9999999981</v>
      </c>
    </row>
    <row r="29" spans="1:13" ht="14.25" customHeight="1" x14ac:dyDescent="0.3">
      <c r="A29" s="8" t="s">
        <v>271</v>
      </c>
      <c r="B29" s="32">
        <f>B21</f>
        <v>4500000</v>
      </c>
      <c r="C29" s="32">
        <f t="shared" ref="C29:L29" si="4">C25-C28</f>
        <v>4287701.2537528491</v>
      </c>
      <c r="D29" s="32">
        <f t="shared" si="4"/>
        <v>4041689.4666016512</v>
      </c>
      <c r="E29" s="32">
        <f t="shared" si="4"/>
        <v>3756611.0076508429</v>
      </c>
      <c r="F29" s="32">
        <f t="shared" si="4"/>
        <v>3426262.0894186459</v>
      </c>
      <c r="G29" s="32">
        <f t="shared" si="4"/>
        <v>3043453.7629711763</v>
      </c>
      <c r="H29" s="32">
        <f t="shared" si="4"/>
        <v>2599855.4742838484</v>
      </c>
      <c r="I29" s="32">
        <f t="shared" si="4"/>
        <v>2085813.7773529729</v>
      </c>
      <c r="J29" s="32">
        <f t="shared" si="4"/>
        <v>1490142.2589494744</v>
      </c>
      <c r="K29" s="32">
        <f t="shared" si="4"/>
        <v>799878.10342350043</v>
      </c>
      <c r="L29" s="32">
        <f t="shared" si="4"/>
        <v>1.7462298274040222E-9</v>
      </c>
      <c r="M29" s="8"/>
    </row>
    <row r="30" spans="1:13" ht="14.25" customHeight="1" x14ac:dyDescent="0.3">
      <c r="A30" s="8" t="s">
        <v>272</v>
      </c>
      <c r="B30" s="43">
        <v>1</v>
      </c>
      <c r="C30" s="43">
        <v>0.85</v>
      </c>
      <c r="D30" s="43">
        <v>0.8</v>
      </c>
      <c r="E30" s="43">
        <v>0.75</v>
      </c>
      <c r="F30" s="43">
        <v>0.65</v>
      </c>
      <c r="G30" s="43">
        <v>0.6</v>
      </c>
      <c r="H30" s="43">
        <v>0.55000000000000004</v>
      </c>
      <c r="I30" s="43">
        <v>0.45</v>
      </c>
      <c r="J30" s="43">
        <v>0.4</v>
      </c>
      <c r="K30" s="43">
        <v>0.35</v>
      </c>
      <c r="L30" s="43">
        <v>0.25</v>
      </c>
      <c r="M30" s="8"/>
    </row>
    <row r="31" spans="1:13" ht="14.25" customHeight="1" x14ac:dyDescent="0.3">
      <c r="A31" s="8" t="s">
        <v>273</v>
      </c>
      <c r="B31" s="32">
        <f t="shared" ref="B31:L31" si="5">(B30*$B$2*$B$4)*-1</f>
        <v>-6000000</v>
      </c>
      <c r="C31" s="32">
        <f t="shared" si="5"/>
        <v>-5100000</v>
      </c>
      <c r="D31" s="32">
        <f t="shared" si="5"/>
        <v>-4800000</v>
      </c>
      <c r="E31" s="32">
        <f t="shared" si="5"/>
        <v>-4500000</v>
      </c>
      <c r="F31" s="32">
        <f t="shared" si="5"/>
        <v>-3900000</v>
      </c>
      <c r="G31" s="32">
        <f t="shared" si="5"/>
        <v>-3600000</v>
      </c>
      <c r="H31" s="32">
        <f t="shared" si="5"/>
        <v>-3300000</v>
      </c>
      <c r="I31" s="32">
        <f t="shared" si="5"/>
        <v>-2700000</v>
      </c>
      <c r="J31" s="32">
        <f t="shared" si="5"/>
        <v>-2400000</v>
      </c>
      <c r="K31" s="32">
        <f t="shared" si="5"/>
        <v>-2100000</v>
      </c>
      <c r="L31" s="32">
        <f t="shared" si="5"/>
        <v>-1500000</v>
      </c>
      <c r="M31" s="32">
        <f>L31</f>
        <v>-1500000</v>
      </c>
    </row>
    <row r="32" spans="1:13" ht="14.25" customHeight="1" x14ac:dyDescent="0.3"/>
    <row r="33" spans="1:13" ht="14.25" customHeight="1" x14ac:dyDescent="0.3">
      <c r="A33" s="3" t="s">
        <v>274</v>
      </c>
      <c r="B33" s="3" t="s">
        <v>255</v>
      </c>
      <c r="C33" s="3" t="s">
        <v>256</v>
      </c>
      <c r="D33" s="3" t="s">
        <v>257</v>
      </c>
      <c r="E33" s="3" t="s">
        <v>258</v>
      </c>
      <c r="F33" s="3" t="s">
        <v>259</v>
      </c>
      <c r="G33" s="3" t="s">
        <v>260</v>
      </c>
      <c r="H33" s="3" t="s">
        <v>261</v>
      </c>
      <c r="I33" s="3" t="s">
        <v>262</v>
      </c>
      <c r="J33" s="3" t="s">
        <v>263</v>
      </c>
      <c r="K33" s="3" t="s">
        <v>264</v>
      </c>
      <c r="L33" s="3" t="s">
        <v>265</v>
      </c>
      <c r="M33" s="3" t="s">
        <v>266</v>
      </c>
    </row>
    <row r="34" spans="1:13" ht="14.25" customHeight="1" x14ac:dyDescent="0.3">
      <c r="A34" s="8" t="s">
        <v>267</v>
      </c>
      <c r="B34" s="8"/>
      <c r="C34" s="32">
        <f t="shared" ref="C34:L34" si="6">B38</f>
        <v>620000</v>
      </c>
      <c r="D34" s="32">
        <f t="shared" si="6"/>
        <v>587749.74813764321</v>
      </c>
      <c r="E34" s="32">
        <f t="shared" si="6"/>
        <v>551023.16131679132</v>
      </c>
      <c r="F34" s="32">
        <f t="shared" si="6"/>
        <v>509198.92424520518</v>
      </c>
      <c r="G34" s="32">
        <f t="shared" si="6"/>
        <v>461569.48306808289</v>
      </c>
      <c r="H34" s="32">
        <f t="shared" si="6"/>
        <v>407329.07545557606</v>
      </c>
      <c r="I34" s="32">
        <f t="shared" si="6"/>
        <v>345560.0992664533</v>
      </c>
      <c r="J34" s="32">
        <f t="shared" si="6"/>
        <v>275217.58918228024</v>
      </c>
      <c r="K34" s="32">
        <f t="shared" si="6"/>
        <v>195111.53869842397</v>
      </c>
      <c r="L34" s="32">
        <f t="shared" si="6"/>
        <v>103886.76840740847</v>
      </c>
      <c r="M34" s="8"/>
    </row>
    <row r="35" spans="1:13" ht="14.25" customHeight="1" x14ac:dyDescent="0.3">
      <c r="A35" s="8" t="s">
        <v>268</v>
      </c>
      <c r="B35" s="8"/>
      <c r="C35" s="32">
        <f t="shared" ref="C35:L35" si="7">$D$22</f>
        <v>118306.25186235676</v>
      </c>
      <c r="D35" s="32">
        <f t="shared" si="7"/>
        <v>118306.25186235676</v>
      </c>
      <c r="E35" s="32">
        <f t="shared" si="7"/>
        <v>118306.25186235676</v>
      </c>
      <c r="F35" s="32">
        <f t="shared" si="7"/>
        <v>118306.25186235676</v>
      </c>
      <c r="G35" s="32">
        <f t="shared" si="7"/>
        <v>118306.25186235676</v>
      </c>
      <c r="H35" s="32">
        <f t="shared" si="7"/>
        <v>118306.25186235676</v>
      </c>
      <c r="I35" s="32">
        <f t="shared" si="7"/>
        <v>118306.25186235676</v>
      </c>
      <c r="J35" s="32">
        <f t="shared" si="7"/>
        <v>118306.25186235676</v>
      </c>
      <c r="K35" s="32">
        <f t="shared" si="7"/>
        <v>118306.25186235676</v>
      </c>
      <c r="L35" s="32">
        <f t="shared" si="7"/>
        <v>118306.25186235676</v>
      </c>
      <c r="M35" s="32">
        <f>SUM(C35:L35)</f>
        <v>1183062.5186235677</v>
      </c>
    </row>
    <row r="36" spans="1:13" ht="14.25" customHeight="1" x14ac:dyDescent="0.3">
      <c r="A36" s="8" t="s">
        <v>269</v>
      </c>
      <c r="B36" s="8"/>
      <c r="C36" s="32">
        <f t="shared" ref="C36:L36" si="8">C34*$B$9</f>
        <v>86056</v>
      </c>
      <c r="D36" s="32">
        <f t="shared" si="8"/>
        <v>81579.665041504879</v>
      </c>
      <c r="E36" s="32">
        <f t="shared" si="8"/>
        <v>76482.014790770641</v>
      </c>
      <c r="F36" s="32">
        <f t="shared" si="8"/>
        <v>70676.810685234479</v>
      </c>
      <c r="G36" s="32">
        <f t="shared" si="8"/>
        <v>64065.844249849906</v>
      </c>
      <c r="H36" s="32">
        <f t="shared" si="8"/>
        <v>56537.275673233962</v>
      </c>
      <c r="I36" s="32">
        <f t="shared" si="8"/>
        <v>47963.741778183721</v>
      </c>
      <c r="J36" s="32">
        <f t="shared" si="8"/>
        <v>38200.201378500497</v>
      </c>
      <c r="K36" s="32">
        <f t="shared" si="8"/>
        <v>27081.48157134125</v>
      </c>
      <c r="L36" s="32">
        <f t="shared" si="8"/>
        <v>14419.483454948297</v>
      </c>
      <c r="M36" s="32">
        <f>SUM(C36:L36)</f>
        <v>563062.51862356765</v>
      </c>
    </row>
    <row r="37" spans="1:13" ht="14.25" customHeight="1" x14ac:dyDescent="0.3">
      <c r="A37" s="8" t="s">
        <v>270</v>
      </c>
      <c r="B37" s="8"/>
      <c r="C37" s="32">
        <f t="shared" ref="C37:L37" si="9">C35-C36</f>
        <v>32250.251862356759</v>
      </c>
      <c r="D37" s="32">
        <f t="shared" si="9"/>
        <v>36726.58682085188</v>
      </c>
      <c r="E37" s="32">
        <f t="shared" si="9"/>
        <v>41824.237071586118</v>
      </c>
      <c r="F37" s="32">
        <f t="shared" si="9"/>
        <v>47629.44117712228</v>
      </c>
      <c r="G37" s="32">
        <f t="shared" si="9"/>
        <v>54240.407612506853</v>
      </c>
      <c r="H37" s="32">
        <f t="shared" si="9"/>
        <v>61768.976189122797</v>
      </c>
      <c r="I37" s="32">
        <f t="shared" si="9"/>
        <v>70342.510084173031</v>
      </c>
      <c r="J37" s="32">
        <f t="shared" si="9"/>
        <v>80106.050483856263</v>
      </c>
      <c r="K37" s="32">
        <f t="shared" si="9"/>
        <v>91224.770291015506</v>
      </c>
      <c r="L37" s="32">
        <f t="shared" si="9"/>
        <v>103886.76840740847</v>
      </c>
      <c r="M37" s="32">
        <f>SUM(C37:L37)</f>
        <v>620000</v>
      </c>
    </row>
    <row r="38" spans="1:13" ht="14.25" customHeight="1" x14ac:dyDescent="0.3">
      <c r="A38" s="8" t="s">
        <v>271</v>
      </c>
      <c r="B38" s="32">
        <f>B3</f>
        <v>620000</v>
      </c>
      <c r="C38" s="32">
        <f t="shared" ref="C38:L38" si="10">C34-C37</f>
        <v>587749.74813764321</v>
      </c>
      <c r="D38" s="32">
        <f t="shared" si="10"/>
        <v>551023.16131679132</v>
      </c>
      <c r="E38" s="32">
        <f t="shared" si="10"/>
        <v>509198.92424520518</v>
      </c>
      <c r="F38" s="32">
        <f t="shared" si="10"/>
        <v>461569.48306808289</v>
      </c>
      <c r="G38" s="32">
        <f t="shared" si="10"/>
        <v>407329.07545557606</v>
      </c>
      <c r="H38" s="32">
        <f t="shared" si="10"/>
        <v>345560.0992664533</v>
      </c>
      <c r="I38" s="32">
        <f t="shared" si="10"/>
        <v>275217.58918228024</v>
      </c>
      <c r="J38" s="32">
        <f t="shared" si="10"/>
        <v>195111.53869842397</v>
      </c>
      <c r="K38" s="32">
        <f t="shared" si="10"/>
        <v>103886.76840740847</v>
      </c>
      <c r="L38" s="32">
        <f t="shared" si="10"/>
        <v>0</v>
      </c>
      <c r="M38" s="8"/>
    </row>
    <row r="39" spans="1:13" ht="14.25" customHeight="1" x14ac:dyDescent="0.3"/>
    <row r="40" spans="1:13" ht="14.25" customHeight="1" x14ac:dyDescent="0.3">
      <c r="A40" s="3" t="s">
        <v>117</v>
      </c>
      <c r="B40" s="3" t="s">
        <v>255</v>
      </c>
      <c r="C40" s="3" t="s">
        <v>256</v>
      </c>
      <c r="D40" s="3" t="s">
        <v>257</v>
      </c>
      <c r="E40" s="3" t="s">
        <v>258</v>
      </c>
      <c r="F40" s="3" t="s">
        <v>259</v>
      </c>
      <c r="G40" s="3" t="s">
        <v>260</v>
      </c>
      <c r="H40" s="3" t="s">
        <v>261</v>
      </c>
      <c r="I40" s="3" t="s">
        <v>262</v>
      </c>
      <c r="J40" s="3" t="s">
        <v>263</v>
      </c>
      <c r="K40" s="3" t="s">
        <v>264</v>
      </c>
      <c r="L40" s="3" t="s">
        <v>265</v>
      </c>
      <c r="M40" s="3" t="s">
        <v>266</v>
      </c>
    </row>
    <row r="41" spans="1:13" ht="14.25" customHeight="1" x14ac:dyDescent="0.3">
      <c r="A41" s="3" t="s">
        <v>275</v>
      </c>
      <c r="B41" s="3"/>
      <c r="C41" s="3"/>
      <c r="D41" s="3"/>
      <c r="E41" s="3"/>
      <c r="F41" s="3"/>
      <c r="G41" s="3"/>
      <c r="H41" s="3"/>
      <c r="I41" s="3"/>
      <c r="J41" s="3"/>
      <c r="K41" s="3"/>
      <c r="L41" s="3"/>
      <c r="M41" s="3"/>
    </row>
    <row r="42" spans="1:13" ht="14.25" customHeight="1" x14ac:dyDescent="0.3">
      <c r="A42" s="8" t="s">
        <v>276</v>
      </c>
      <c r="B42" s="8"/>
      <c r="C42" s="32">
        <f>B14</f>
        <v>1.24</v>
      </c>
      <c r="D42" s="8">
        <f t="shared" ref="D42:L42" si="11">+C42*(1+C43)</f>
        <v>1.312416</v>
      </c>
      <c r="E42" s="8">
        <f t="shared" si="11"/>
        <v>1.3890610944000001</v>
      </c>
      <c r="F42" s="8">
        <f t="shared" si="11"/>
        <v>1.4701822623129601</v>
      </c>
      <c r="G42" s="8">
        <f t="shared" si="11"/>
        <v>1.5560409064320371</v>
      </c>
      <c r="H42" s="8">
        <f t="shared" si="11"/>
        <v>1.646913695367668</v>
      </c>
      <c r="I42" s="8">
        <f t="shared" si="11"/>
        <v>1.7430934551771398</v>
      </c>
      <c r="J42" s="8">
        <f t="shared" si="11"/>
        <v>1.8448901129594848</v>
      </c>
      <c r="K42" s="8">
        <f t="shared" si="11"/>
        <v>1.9526316955563188</v>
      </c>
      <c r="L42" s="8">
        <f t="shared" si="11"/>
        <v>2.0666653865768079</v>
      </c>
      <c r="M42" s="8"/>
    </row>
    <row r="43" spans="1:13" ht="14.25" customHeight="1" x14ac:dyDescent="0.3">
      <c r="A43" s="8" t="s">
        <v>277</v>
      </c>
      <c r="B43" s="44"/>
      <c r="C43" s="44">
        <f t="shared" ref="C43:L43" si="12">$B$15</f>
        <v>5.8400000000000001E-2</v>
      </c>
      <c r="D43" s="44">
        <f t="shared" si="12"/>
        <v>5.8400000000000001E-2</v>
      </c>
      <c r="E43" s="44">
        <f t="shared" si="12"/>
        <v>5.8400000000000001E-2</v>
      </c>
      <c r="F43" s="44">
        <f t="shared" si="12"/>
        <v>5.8400000000000001E-2</v>
      </c>
      <c r="G43" s="44">
        <f t="shared" si="12"/>
        <v>5.8400000000000001E-2</v>
      </c>
      <c r="H43" s="44">
        <f t="shared" si="12"/>
        <v>5.8400000000000001E-2</v>
      </c>
      <c r="I43" s="44">
        <f t="shared" si="12"/>
        <v>5.8400000000000001E-2</v>
      </c>
      <c r="J43" s="44">
        <f t="shared" si="12"/>
        <v>5.8400000000000001E-2</v>
      </c>
      <c r="K43" s="44">
        <f t="shared" si="12"/>
        <v>5.8400000000000001E-2</v>
      </c>
      <c r="L43" s="44">
        <f t="shared" si="12"/>
        <v>5.8400000000000001E-2</v>
      </c>
      <c r="M43" s="8"/>
    </row>
    <row r="44" spans="1:13" ht="14.25" customHeight="1" x14ac:dyDescent="0.3">
      <c r="A44" s="8" t="s">
        <v>278</v>
      </c>
      <c r="B44" s="8"/>
      <c r="C44" s="8">
        <f t="shared" ref="C44:L44" si="13">$B$16</f>
        <v>5.3</v>
      </c>
      <c r="D44" s="8">
        <f t="shared" si="13"/>
        <v>5.3</v>
      </c>
      <c r="E44" s="8">
        <f t="shared" si="13"/>
        <v>5.3</v>
      </c>
      <c r="F44" s="8">
        <f t="shared" si="13"/>
        <v>5.3</v>
      </c>
      <c r="G44" s="8">
        <f t="shared" si="13"/>
        <v>5.3</v>
      </c>
      <c r="H44" s="8">
        <f t="shared" si="13"/>
        <v>5.3</v>
      </c>
      <c r="I44" s="8">
        <f t="shared" si="13"/>
        <v>5.3</v>
      </c>
      <c r="J44" s="8">
        <f t="shared" si="13"/>
        <v>5.3</v>
      </c>
      <c r="K44" s="8">
        <f t="shared" si="13"/>
        <v>5.3</v>
      </c>
      <c r="L44" s="8">
        <f t="shared" si="13"/>
        <v>5.3</v>
      </c>
      <c r="M44" s="8"/>
    </row>
    <row r="45" spans="1:13" ht="14.25" customHeight="1" x14ac:dyDescent="0.3">
      <c r="A45" s="8" t="s">
        <v>279</v>
      </c>
      <c r="B45" s="32"/>
      <c r="C45" s="32">
        <f t="shared" ref="C45:L45" si="14">+$B$4*$B$13*(C42/C44)</f>
        <v>1312809.0566037735</v>
      </c>
      <c r="D45" s="32">
        <f t="shared" si="14"/>
        <v>1389477.1055094341</v>
      </c>
      <c r="E45" s="32">
        <f t="shared" si="14"/>
        <v>1470622.5684711852</v>
      </c>
      <c r="F45" s="32">
        <f t="shared" si="14"/>
        <v>1556506.926469902</v>
      </c>
      <c r="G45" s="32">
        <f t="shared" si="14"/>
        <v>1647406.9309757445</v>
      </c>
      <c r="H45" s="32">
        <f t="shared" si="14"/>
        <v>1743615.495744728</v>
      </c>
      <c r="I45" s="32">
        <f t="shared" si="14"/>
        <v>1845442.6406962201</v>
      </c>
      <c r="J45" s="32">
        <f t="shared" si="14"/>
        <v>1953216.4909128796</v>
      </c>
      <c r="K45" s="32">
        <f t="shared" si="14"/>
        <v>2067284.333982192</v>
      </c>
      <c r="L45" s="32">
        <f t="shared" si="14"/>
        <v>2188013.7390867518</v>
      </c>
      <c r="M45" s="32">
        <f>SUM(B45:L45)</f>
        <v>17174395.288452808</v>
      </c>
    </row>
    <row r="46" spans="1:13" ht="14.25" customHeight="1" x14ac:dyDescent="0.3">
      <c r="A46" s="3" t="s">
        <v>280</v>
      </c>
      <c r="B46" s="3"/>
      <c r="C46" s="3"/>
      <c r="D46" s="3"/>
      <c r="E46" s="3"/>
      <c r="F46" s="3"/>
      <c r="G46" s="3"/>
      <c r="H46" s="3"/>
      <c r="I46" s="3"/>
      <c r="J46" s="3"/>
      <c r="K46" s="3"/>
      <c r="L46" s="3"/>
      <c r="M46" s="3"/>
    </row>
    <row r="47" spans="1:13" ht="14.25" customHeight="1" x14ac:dyDescent="0.3">
      <c r="A47" s="8" t="s">
        <v>281</v>
      </c>
      <c r="B47" s="8"/>
      <c r="C47" s="45">
        <f>$B$17</f>
        <v>0.16500000000000001</v>
      </c>
      <c r="D47" s="8">
        <f t="shared" ref="D47:L47" si="15">C47*(1+D48)</f>
        <v>0.175395</v>
      </c>
      <c r="E47" s="8">
        <f t="shared" si="15"/>
        <v>0.18644488499999998</v>
      </c>
      <c r="F47" s="8">
        <f t="shared" si="15"/>
        <v>0.19819091275499998</v>
      </c>
      <c r="G47" s="8">
        <f t="shared" si="15"/>
        <v>0.21067694025856495</v>
      </c>
      <c r="H47" s="8">
        <f t="shared" si="15"/>
        <v>0.22394958749485452</v>
      </c>
      <c r="I47" s="8">
        <f t="shared" si="15"/>
        <v>0.23805841150703036</v>
      </c>
      <c r="J47" s="8">
        <f t="shared" si="15"/>
        <v>0.25305609143197327</v>
      </c>
      <c r="K47" s="8">
        <f t="shared" si="15"/>
        <v>0.26899862519218759</v>
      </c>
      <c r="L47" s="8">
        <f t="shared" si="15"/>
        <v>0.28594553857929539</v>
      </c>
      <c r="M47" s="8"/>
    </row>
    <row r="48" spans="1:13" ht="14.25" customHeight="1" x14ac:dyDescent="0.3">
      <c r="A48" s="8" t="s">
        <v>282</v>
      </c>
      <c r="B48" s="46"/>
      <c r="C48" s="46">
        <f t="shared" ref="C48:L48" si="16">$B$18</f>
        <v>6.3E-2</v>
      </c>
      <c r="D48" s="46">
        <f t="shared" si="16"/>
        <v>6.3E-2</v>
      </c>
      <c r="E48" s="46">
        <f t="shared" si="16"/>
        <v>6.3E-2</v>
      </c>
      <c r="F48" s="46">
        <f t="shared" si="16"/>
        <v>6.3E-2</v>
      </c>
      <c r="G48" s="46">
        <f t="shared" si="16"/>
        <v>6.3E-2</v>
      </c>
      <c r="H48" s="46">
        <f t="shared" si="16"/>
        <v>6.3E-2</v>
      </c>
      <c r="I48" s="46">
        <f t="shared" si="16"/>
        <v>6.3E-2</v>
      </c>
      <c r="J48" s="46">
        <f t="shared" si="16"/>
        <v>6.3E-2</v>
      </c>
      <c r="K48" s="46">
        <f t="shared" si="16"/>
        <v>6.3E-2</v>
      </c>
      <c r="L48" s="46">
        <f t="shared" si="16"/>
        <v>6.3E-2</v>
      </c>
      <c r="M48" s="8"/>
    </row>
    <row r="49" spans="1:14" ht="14.25" customHeight="1" x14ac:dyDescent="0.3">
      <c r="A49" s="8" t="s">
        <v>283</v>
      </c>
      <c r="B49" s="32">
        <f t="shared" ref="B49:L49" si="17">+$B$4*$B$13*B47</f>
        <v>0</v>
      </c>
      <c r="C49" s="32">
        <f t="shared" si="17"/>
        <v>925848</v>
      </c>
      <c r="D49" s="32">
        <f t="shared" si="17"/>
        <v>984176.424</v>
      </c>
      <c r="E49" s="32">
        <f t="shared" si="17"/>
        <v>1046179.5387119999</v>
      </c>
      <c r="F49" s="32">
        <f t="shared" si="17"/>
        <v>1112088.8496508559</v>
      </c>
      <c r="G49" s="32">
        <f t="shared" si="17"/>
        <v>1182150.4471788597</v>
      </c>
      <c r="H49" s="32">
        <f t="shared" si="17"/>
        <v>1256625.9253511277</v>
      </c>
      <c r="I49" s="32">
        <f t="shared" si="17"/>
        <v>1335793.3586482487</v>
      </c>
      <c r="J49" s="32">
        <f t="shared" si="17"/>
        <v>1419948.3402430885</v>
      </c>
      <c r="K49" s="32">
        <f t="shared" si="17"/>
        <v>1509405.085678403</v>
      </c>
      <c r="L49" s="32">
        <f t="shared" si="17"/>
        <v>1604497.6060761423</v>
      </c>
      <c r="M49" s="32">
        <f>SUM(B49:L49)</f>
        <v>12376713.575538727</v>
      </c>
    </row>
    <row r="50" spans="1:14" ht="14.25" customHeight="1" x14ac:dyDescent="0.3">
      <c r="A50" s="8" t="s">
        <v>284</v>
      </c>
      <c r="B50" s="32"/>
      <c r="C50" s="32">
        <f>B2*B4*B8</f>
        <v>180000</v>
      </c>
      <c r="D50" s="32">
        <f t="shared" ref="D50:L50" si="18">+C50*(1+D51)</f>
        <v>176400</v>
      </c>
      <c r="E50" s="32">
        <f t="shared" si="18"/>
        <v>172872</v>
      </c>
      <c r="F50" s="32">
        <f t="shared" si="18"/>
        <v>169414.56</v>
      </c>
      <c r="G50" s="32">
        <f t="shared" si="18"/>
        <v>166026.26879999999</v>
      </c>
      <c r="H50" s="32">
        <f t="shared" si="18"/>
        <v>162705.74342399999</v>
      </c>
      <c r="I50" s="32">
        <f t="shared" si="18"/>
        <v>159451.62855551997</v>
      </c>
      <c r="J50" s="32">
        <f t="shared" si="18"/>
        <v>156262.59598440956</v>
      </c>
      <c r="K50" s="32">
        <f t="shared" si="18"/>
        <v>153137.34406472137</v>
      </c>
      <c r="L50" s="32">
        <f t="shared" si="18"/>
        <v>150074.59718342693</v>
      </c>
      <c r="M50" s="32">
        <f>SUM(B50:L50)</f>
        <v>1646344.7380120778</v>
      </c>
    </row>
    <row r="51" spans="1:14" ht="14.25" customHeight="1" x14ac:dyDescent="0.3">
      <c r="A51" s="8" t="s">
        <v>277</v>
      </c>
      <c r="B51" s="43"/>
      <c r="C51" s="43">
        <v>-0.02</v>
      </c>
      <c r="D51" s="43">
        <v>-0.02</v>
      </c>
      <c r="E51" s="43">
        <v>-0.02</v>
      </c>
      <c r="F51" s="43">
        <v>-0.02</v>
      </c>
      <c r="G51" s="43">
        <v>-0.02</v>
      </c>
      <c r="H51" s="43">
        <v>-0.02</v>
      </c>
      <c r="I51" s="43">
        <v>-0.02</v>
      </c>
      <c r="J51" s="43">
        <v>-0.02</v>
      </c>
      <c r="K51" s="43">
        <v>-0.02</v>
      </c>
      <c r="L51" s="43">
        <v>-0.02</v>
      </c>
      <c r="M51" s="8"/>
    </row>
    <row r="52" spans="1:14" ht="14.25" customHeight="1" x14ac:dyDescent="0.3">
      <c r="A52" s="8" t="s">
        <v>285</v>
      </c>
      <c r="B52" s="32"/>
      <c r="C52" s="32">
        <f>B3*B11</f>
        <v>1550</v>
      </c>
      <c r="D52" s="32">
        <f t="shared" ref="D52:L52" si="19">+C52*(1+D53)</f>
        <v>1647.6499999999999</v>
      </c>
      <c r="E52" s="32">
        <f t="shared" si="19"/>
        <v>1751.4519499999997</v>
      </c>
      <c r="F52" s="32">
        <f t="shared" si="19"/>
        <v>1861.7934228499996</v>
      </c>
      <c r="G52" s="32">
        <f t="shared" si="19"/>
        <v>1979.0864084895495</v>
      </c>
      <c r="H52" s="32">
        <f t="shared" si="19"/>
        <v>2103.7688522243911</v>
      </c>
      <c r="I52" s="32">
        <f t="shared" si="19"/>
        <v>2236.3062899145275</v>
      </c>
      <c r="J52" s="32">
        <f t="shared" si="19"/>
        <v>2377.1935861791426</v>
      </c>
      <c r="K52" s="32">
        <f t="shared" si="19"/>
        <v>2526.9567821084283</v>
      </c>
      <c r="L52" s="32">
        <f t="shared" si="19"/>
        <v>2686.155059381259</v>
      </c>
      <c r="M52" s="8"/>
    </row>
    <row r="53" spans="1:14" ht="14.25" customHeight="1" x14ac:dyDescent="0.3">
      <c r="A53" s="8" t="s">
        <v>286</v>
      </c>
      <c r="B53" s="46"/>
      <c r="C53" s="46">
        <f t="shared" ref="C53:L53" si="20">$B$18</f>
        <v>6.3E-2</v>
      </c>
      <c r="D53" s="46">
        <f t="shared" si="20"/>
        <v>6.3E-2</v>
      </c>
      <c r="E53" s="46">
        <f t="shared" si="20"/>
        <v>6.3E-2</v>
      </c>
      <c r="F53" s="46">
        <f t="shared" si="20"/>
        <v>6.3E-2</v>
      </c>
      <c r="G53" s="46">
        <f t="shared" si="20"/>
        <v>6.3E-2</v>
      </c>
      <c r="H53" s="46">
        <f t="shared" si="20"/>
        <v>6.3E-2</v>
      </c>
      <c r="I53" s="46">
        <f t="shared" si="20"/>
        <v>6.3E-2</v>
      </c>
      <c r="J53" s="46">
        <f t="shared" si="20"/>
        <v>6.3E-2</v>
      </c>
      <c r="K53" s="46">
        <f t="shared" si="20"/>
        <v>6.3E-2</v>
      </c>
      <c r="L53" s="46">
        <f t="shared" si="20"/>
        <v>6.3E-2</v>
      </c>
      <c r="M53" s="8"/>
    </row>
    <row r="54" spans="1:14" ht="14.25" customHeight="1" x14ac:dyDescent="0.3">
      <c r="A54" s="8" t="s">
        <v>287</v>
      </c>
      <c r="B54" s="32">
        <f t="shared" ref="B54:L54" si="21">B52</f>
        <v>0</v>
      </c>
      <c r="C54" s="32">
        <f t="shared" si="21"/>
        <v>1550</v>
      </c>
      <c r="D54" s="32">
        <f t="shared" si="21"/>
        <v>1647.6499999999999</v>
      </c>
      <c r="E54" s="32">
        <f t="shared" si="21"/>
        <v>1751.4519499999997</v>
      </c>
      <c r="F54" s="32">
        <f t="shared" si="21"/>
        <v>1861.7934228499996</v>
      </c>
      <c r="G54" s="32">
        <f t="shared" si="21"/>
        <v>1979.0864084895495</v>
      </c>
      <c r="H54" s="32">
        <f t="shared" si="21"/>
        <v>2103.7688522243911</v>
      </c>
      <c r="I54" s="32">
        <f t="shared" si="21"/>
        <v>2236.3062899145275</v>
      </c>
      <c r="J54" s="32">
        <f t="shared" si="21"/>
        <v>2377.1935861791426</v>
      </c>
      <c r="K54" s="32">
        <f t="shared" si="21"/>
        <v>2526.9567821084283</v>
      </c>
      <c r="L54" s="32">
        <f t="shared" si="21"/>
        <v>2686.155059381259</v>
      </c>
      <c r="M54" s="32">
        <f>SUM(B54:L54)</f>
        <v>20720.362351147298</v>
      </c>
    </row>
    <row r="55" spans="1:14" ht="14.25" customHeight="1" x14ac:dyDescent="0.3">
      <c r="L55" s="42" t="s">
        <v>288</v>
      </c>
      <c r="M55" s="47">
        <f>M49+M50+M54</f>
        <v>14043778.675901951</v>
      </c>
    </row>
    <row r="56" spans="1:14" ht="14.25" customHeight="1" x14ac:dyDescent="0.3"/>
    <row r="57" spans="1:14" ht="14.25" customHeight="1" x14ac:dyDescent="0.3">
      <c r="A57" s="42" t="s">
        <v>289</v>
      </c>
      <c r="B57" s="47">
        <f>B28</f>
        <v>1500000</v>
      </c>
      <c r="C57" s="47">
        <f t="shared" ref="C57:L57" si="22">+C26+C35+C45+C49+C50+C54</f>
        <v>3465412.0547132809</v>
      </c>
      <c r="D57" s="47">
        <f t="shared" si="22"/>
        <v>3596906.1776189413</v>
      </c>
      <c r="E57" s="47">
        <f t="shared" si="22"/>
        <v>3736630.5572426924</v>
      </c>
      <c r="F57" s="47">
        <f t="shared" si="22"/>
        <v>3885077.127653115</v>
      </c>
      <c r="G57" s="47">
        <f t="shared" si="22"/>
        <v>4042767.7314726012</v>
      </c>
      <c r="H57" s="47">
        <f t="shared" si="22"/>
        <v>4210255.9314815877</v>
      </c>
      <c r="I57" s="47">
        <f t="shared" si="22"/>
        <v>4388128.93229941</v>
      </c>
      <c r="J57" s="47">
        <f t="shared" si="22"/>
        <v>4577009.6188360639</v>
      </c>
      <c r="K57" s="47">
        <f t="shared" si="22"/>
        <v>4777558.7186169326</v>
      </c>
      <c r="L57" s="47">
        <f t="shared" si="22"/>
        <v>4990477.0955152093</v>
      </c>
      <c r="M57" s="47">
        <f>M26+M35+M45+M55</f>
        <v>41670223.945449837</v>
      </c>
      <c r="N57" s="47"/>
    </row>
    <row r="58" spans="1:14" ht="14.25" customHeight="1" x14ac:dyDescent="0.3"/>
    <row r="59" spans="1:14" ht="14.25" customHeight="1" x14ac:dyDescent="0.3"/>
    <row r="60" spans="1:14" ht="14.25" customHeight="1" x14ac:dyDescent="0.3"/>
    <row r="61" spans="1:14" ht="14.25" customHeight="1" x14ac:dyDescent="0.3"/>
    <row r="62" spans="1:14" ht="14.25" customHeight="1" x14ac:dyDescent="0.3"/>
    <row r="63" spans="1:14" ht="14.25" customHeight="1" x14ac:dyDescent="0.3"/>
    <row r="64" spans="1:1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36" workbookViewId="0">
      <selection activeCell="B7" sqref="B7"/>
    </sheetView>
  </sheetViews>
  <sheetFormatPr defaultColWidth="12.5546875" defaultRowHeight="15" customHeight="1" x14ac:dyDescent="0.3"/>
  <cols>
    <col min="1" max="1" width="35.33203125" customWidth="1"/>
    <col min="2" max="2" width="14" customWidth="1"/>
    <col min="3" max="3" width="23" customWidth="1"/>
    <col min="4" max="4" width="80.44140625" customWidth="1"/>
    <col min="5" max="11" width="14" customWidth="1"/>
    <col min="12" max="12" width="15.6640625" customWidth="1"/>
    <col min="13" max="13" width="14.44140625" customWidth="1"/>
  </cols>
  <sheetData>
    <row r="1" spans="1:4" ht="14.25" customHeight="1" x14ac:dyDescent="0.3">
      <c r="A1" s="3" t="s">
        <v>108</v>
      </c>
      <c r="B1" s="3"/>
      <c r="C1" s="3"/>
      <c r="D1" s="26"/>
    </row>
    <row r="2" spans="1:4" ht="14.25" customHeight="1" x14ac:dyDescent="0.3">
      <c r="A2" s="5" t="s">
        <v>290</v>
      </c>
      <c r="B2" s="9">
        <f>'Basic Inputs'!C45</f>
        <v>130000</v>
      </c>
      <c r="C2" s="8"/>
      <c r="D2" s="28" t="s">
        <v>291</v>
      </c>
    </row>
    <row r="3" spans="1:4" ht="14.25" customHeight="1" x14ac:dyDescent="0.3">
      <c r="A3" s="8" t="s">
        <v>217</v>
      </c>
      <c r="B3" s="9">
        <f>'Basic Inputs'!C50</f>
        <v>425213</v>
      </c>
      <c r="C3" s="8"/>
      <c r="D3" s="28" t="s">
        <v>292</v>
      </c>
    </row>
    <row r="4" spans="1:4" ht="14.25" customHeight="1" x14ac:dyDescent="0.3">
      <c r="A4" s="8" t="s">
        <v>219</v>
      </c>
      <c r="B4" s="17">
        <f>'Basic Inputs'!C12</f>
        <v>100</v>
      </c>
      <c r="C4" s="8"/>
      <c r="D4" s="28" t="s">
        <v>220</v>
      </c>
    </row>
    <row r="5" spans="1:4" ht="14.25" customHeight="1" x14ac:dyDescent="0.3">
      <c r="A5" s="8" t="s">
        <v>293</v>
      </c>
      <c r="B5" s="13">
        <v>0.3</v>
      </c>
      <c r="C5" s="8" t="s">
        <v>222</v>
      </c>
      <c r="D5" s="28" t="s">
        <v>223</v>
      </c>
    </row>
    <row r="6" spans="1:4" ht="14.25" customHeight="1" x14ac:dyDescent="0.3">
      <c r="A6" s="8" t="s">
        <v>294</v>
      </c>
      <c r="B6" s="9">
        <f>'Basic Inputs'!B39</f>
        <v>5600</v>
      </c>
      <c r="C6" s="8"/>
      <c r="D6" s="28" t="s">
        <v>295</v>
      </c>
    </row>
    <row r="7" spans="1:4" ht="14.25" customHeight="1" x14ac:dyDescent="0.3">
      <c r="A7" s="8" t="s">
        <v>224</v>
      </c>
      <c r="B7" s="39">
        <v>0.1</v>
      </c>
      <c r="C7" s="11" t="s">
        <v>225</v>
      </c>
      <c r="D7" s="28" t="s">
        <v>226</v>
      </c>
    </row>
    <row r="8" spans="1:4" ht="14.25" customHeight="1" x14ac:dyDescent="0.3">
      <c r="A8" s="8" t="s">
        <v>227</v>
      </c>
      <c r="B8" s="11">
        <v>10</v>
      </c>
      <c r="C8" s="11" t="s">
        <v>225</v>
      </c>
      <c r="D8" s="28" t="s">
        <v>296</v>
      </c>
    </row>
    <row r="9" spans="1:4" ht="14.25" customHeight="1" x14ac:dyDescent="0.3">
      <c r="A9" s="8" t="s">
        <v>229</v>
      </c>
      <c r="B9" s="48">
        <f>'Basic Inputs'!C7</f>
        <v>3.5000000000000003E-2</v>
      </c>
      <c r="C9" s="8"/>
      <c r="D9" s="28" t="s">
        <v>297</v>
      </c>
    </row>
    <row r="10" spans="1:4" ht="14.25" customHeight="1" x14ac:dyDescent="0.3">
      <c r="A10" s="8" t="s">
        <v>298</v>
      </c>
      <c r="B10" s="49">
        <v>0.02</v>
      </c>
      <c r="C10" s="11"/>
      <c r="D10" s="28" t="s">
        <v>299</v>
      </c>
    </row>
    <row r="11" spans="1:4" ht="14.25" customHeight="1" x14ac:dyDescent="0.3">
      <c r="A11" s="8" t="s">
        <v>231</v>
      </c>
      <c r="B11" s="39">
        <f>B7-0.02</f>
        <v>0.08</v>
      </c>
      <c r="C11" s="11" t="s">
        <v>225</v>
      </c>
      <c r="D11" s="28" t="s">
        <v>300</v>
      </c>
    </row>
    <row r="12" spans="1:4" ht="14.25" customHeight="1" x14ac:dyDescent="0.3">
      <c r="A12" s="8" t="s">
        <v>233</v>
      </c>
      <c r="B12" s="11">
        <v>10</v>
      </c>
      <c r="C12" s="11" t="s">
        <v>225</v>
      </c>
      <c r="D12" s="28" t="s">
        <v>234</v>
      </c>
    </row>
    <row r="13" spans="1:4" ht="14.25" customHeight="1" x14ac:dyDescent="0.3">
      <c r="A13" s="40" t="s">
        <v>235</v>
      </c>
      <c r="B13" s="39">
        <v>2.5000000000000001E-3</v>
      </c>
      <c r="C13" s="11" t="s">
        <v>225</v>
      </c>
      <c r="D13" s="50" t="s">
        <v>301</v>
      </c>
    </row>
    <row r="14" spans="1:4" ht="14.25" customHeight="1" x14ac:dyDescent="0.3">
      <c r="A14" s="3" t="s">
        <v>117</v>
      </c>
      <c r="B14" s="3"/>
      <c r="C14" s="3"/>
      <c r="D14" s="51"/>
    </row>
    <row r="15" spans="1:4" ht="14.25" customHeight="1" x14ac:dyDescent="0.3">
      <c r="A15" s="8" t="s">
        <v>237</v>
      </c>
      <c r="B15" s="17">
        <f>'Basic Inputs'!C14</f>
        <v>56112</v>
      </c>
      <c r="C15" s="8"/>
      <c r="D15" s="28" t="s">
        <v>238</v>
      </c>
    </row>
    <row r="16" spans="1:4" ht="14.25" customHeight="1" x14ac:dyDescent="0.3">
      <c r="A16" s="8" t="s">
        <v>302</v>
      </c>
      <c r="B16" s="15">
        <f>'Basic Inputs'!C55</f>
        <v>7.0000000000000007E-2</v>
      </c>
      <c r="C16" s="8"/>
      <c r="D16" s="28" t="s">
        <v>303</v>
      </c>
    </row>
    <row r="17" spans="1:13" ht="14.25" customHeight="1" x14ac:dyDescent="0.3">
      <c r="A17" s="8" t="s">
        <v>304</v>
      </c>
      <c r="B17" s="39">
        <v>0.03</v>
      </c>
      <c r="C17" s="11" t="s">
        <v>225</v>
      </c>
      <c r="D17" s="28" t="s">
        <v>305</v>
      </c>
    </row>
    <row r="18" spans="1:13" ht="14.25" customHeight="1" x14ac:dyDescent="0.3">
      <c r="A18" s="8" t="s">
        <v>306</v>
      </c>
      <c r="B18" s="17">
        <f>'Basic Inputs'!C15</f>
        <v>1.33</v>
      </c>
      <c r="C18" s="8"/>
      <c r="D18" s="28" t="s">
        <v>307</v>
      </c>
    </row>
    <row r="19" spans="1:13" ht="14.25" customHeight="1" x14ac:dyDescent="0.3">
      <c r="A19" s="8" t="s">
        <v>245</v>
      </c>
      <c r="B19" s="15">
        <f>'Basic Inputs'!C10</f>
        <v>9.9000000000000005E-2</v>
      </c>
      <c r="C19" s="8"/>
      <c r="D19" s="28" t="s">
        <v>246</v>
      </c>
    </row>
    <row r="20" spans="1:13" ht="14.25" customHeight="1" x14ac:dyDescent="0.3">
      <c r="A20" s="8" t="s">
        <v>247</v>
      </c>
      <c r="B20" s="41">
        <v>6.3E-2</v>
      </c>
      <c r="C20" s="11" t="s">
        <v>225</v>
      </c>
      <c r="D20" s="28" t="s">
        <v>308</v>
      </c>
    </row>
    <row r="21" spans="1:13" ht="14.25" customHeight="1" x14ac:dyDescent="0.3">
      <c r="D21" s="42"/>
    </row>
    <row r="22" spans="1:13" ht="14.25" customHeight="1" x14ac:dyDescent="0.3">
      <c r="A22" s="3" t="s">
        <v>249</v>
      </c>
      <c r="B22" s="3"/>
      <c r="C22" s="3" t="s">
        <v>250</v>
      </c>
      <c r="D22" s="3"/>
    </row>
    <row r="23" spans="1:13" ht="14.25" customHeight="1" x14ac:dyDescent="0.3">
      <c r="A23" s="8" t="s">
        <v>251</v>
      </c>
      <c r="B23" s="32">
        <f>(B2*B4)-(B2*B4*B5)</f>
        <v>9100000</v>
      </c>
      <c r="C23" s="8" t="s">
        <v>251</v>
      </c>
      <c r="D23" s="32">
        <f>B3</f>
        <v>425213</v>
      </c>
    </row>
    <row r="24" spans="1:13" ht="14.25" customHeight="1" x14ac:dyDescent="0.3">
      <c r="A24" s="8" t="s">
        <v>252</v>
      </c>
      <c r="B24" s="32">
        <f>+-PMT(B7,B8,B23)</f>
        <v>1480983.0934308558</v>
      </c>
      <c r="C24" s="8" t="s">
        <v>253</v>
      </c>
      <c r="D24" s="32">
        <f>+-PMT(B11,B12,D23)</f>
        <v>63369.275977349527</v>
      </c>
    </row>
    <row r="25" spans="1:13" ht="14.25" customHeight="1" x14ac:dyDescent="0.3"/>
    <row r="26" spans="1:13" ht="14.25" customHeight="1" x14ac:dyDescent="0.3">
      <c r="A26" s="3" t="s">
        <v>254</v>
      </c>
      <c r="B26" s="3" t="s">
        <v>255</v>
      </c>
      <c r="C26" s="3" t="s">
        <v>256</v>
      </c>
      <c r="D26" s="3" t="s">
        <v>257</v>
      </c>
      <c r="E26" s="3" t="s">
        <v>258</v>
      </c>
      <c r="F26" s="3" t="s">
        <v>259</v>
      </c>
      <c r="G26" s="3" t="s">
        <v>260</v>
      </c>
      <c r="H26" s="3" t="s">
        <v>261</v>
      </c>
      <c r="I26" s="3" t="s">
        <v>262</v>
      </c>
      <c r="J26" s="3" t="s">
        <v>263</v>
      </c>
      <c r="K26" s="3" t="s">
        <v>264</v>
      </c>
      <c r="L26" s="3" t="s">
        <v>265</v>
      </c>
      <c r="M26" s="3" t="s">
        <v>266</v>
      </c>
    </row>
    <row r="27" spans="1:13" ht="14.25" customHeight="1" x14ac:dyDescent="0.3">
      <c r="A27" s="8" t="s">
        <v>267</v>
      </c>
      <c r="B27" s="8"/>
      <c r="C27" s="32">
        <f>B23</f>
        <v>9100000</v>
      </c>
      <c r="D27" s="32">
        <f t="shared" ref="D27:L27" si="0">C31</f>
        <v>8529016.9065691438</v>
      </c>
      <c r="E27" s="32">
        <f t="shared" si="0"/>
        <v>7900935.5037952028</v>
      </c>
      <c r="F27" s="32">
        <f t="shared" si="0"/>
        <v>7210045.9607438669</v>
      </c>
      <c r="G27" s="32">
        <f t="shared" si="0"/>
        <v>6450067.463387398</v>
      </c>
      <c r="H27" s="32">
        <f t="shared" si="0"/>
        <v>5614091.1162952818</v>
      </c>
      <c r="I27" s="32">
        <f t="shared" si="0"/>
        <v>4694517.1344939545</v>
      </c>
      <c r="J27" s="32">
        <f t="shared" si="0"/>
        <v>3682985.7545124944</v>
      </c>
      <c r="K27" s="32">
        <f t="shared" si="0"/>
        <v>2570301.2365328884</v>
      </c>
      <c r="L27" s="32">
        <f t="shared" si="0"/>
        <v>1346348.2667553215</v>
      </c>
      <c r="M27" s="8"/>
    </row>
    <row r="28" spans="1:13" ht="14.25" customHeight="1" x14ac:dyDescent="0.3">
      <c r="A28" s="8" t="s">
        <v>268</v>
      </c>
      <c r="B28" s="8"/>
      <c r="C28" s="32">
        <f t="shared" ref="C28:L28" si="1">$B$24</f>
        <v>1480983.0934308558</v>
      </c>
      <c r="D28" s="32">
        <f t="shared" si="1"/>
        <v>1480983.0934308558</v>
      </c>
      <c r="E28" s="32">
        <f t="shared" si="1"/>
        <v>1480983.0934308558</v>
      </c>
      <c r="F28" s="32">
        <f t="shared" si="1"/>
        <v>1480983.0934308558</v>
      </c>
      <c r="G28" s="32">
        <f t="shared" si="1"/>
        <v>1480983.0934308558</v>
      </c>
      <c r="H28" s="32">
        <f t="shared" si="1"/>
        <v>1480983.0934308558</v>
      </c>
      <c r="I28" s="32">
        <f t="shared" si="1"/>
        <v>1480983.0934308558</v>
      </c>
      <c r="J28" s="32">
        <f t="shared" si="1"/>
        <v>1480983.0934308558</v>
      </c>
      <c r="K28" s="32">
        <f t="shared" si="1"/>
        <v>1480983.0934308558</v>
      </c>
      <c r="L28" s="32">
        <f t="shared" si="1"/>
        <v>1480983.0934308558</v>
      </c>
      <c r="M28" s="32">
        <f>SUM(C28:L28)+B30+M33</f>
        <v>15459830.934308559</v>
      </c>
    </row>
    <row r="29" spans="1:13" ht="14.25" customHeight="1" x14ac:dyDescent="0.3">
      <c r="A29" s="8" t="s">
        <v>269</v>
      </c>
      <c r="B29" s="8"/>
      <c r="C29" s="32">
        <f t="shared" ref="C29:L29" si="2">C27*$B$7</f>
        <v>910000</v>
      </c>
      <c r="D29" s="32">
        <f t="shared" si="2"/>
        <v>852901.69065691438</v>
      </c>
      <c r="E29" s="32">
        <f t="shared" si="2"/>
        <v>790093.55037952028</v>
      </c>
      <c r="F29" s="32">
        <f t="shared" si="2"/>
        <v>721004.59607438673</v>
      </c>
      <c r="G29" s="32">
        <f t="shared" si="2"/>
        <v>645006.74633873987</v>
      </c>
      <c r="H29" s="32">
        <f t="shared" si="2"/>
        <v>561409.11162952823</v>
      </c>
      <c r="I29" s="32">
        <f t="shared" si="2"/>
        <v>469451.71344939549</v>
      </c>
      <c r="J29" s="32">
        <f t="shared" si="2"/>
        <v>368298.57545124949</v>
      </c>
      <c r="K29" s="32">
        <f t="shared" si="2"/>
        <v>257030.12365328884</v>
      </c>
      <c r="L29" s="32">
        <f t="shared" si="2"/>
        <v>134634.82667553215</v>
      </c>
      <c r="M29" s="32">
        <f>SUM(C29:L29)</f>
        <v>5709830.934308555</v>
      </c>
    </row>
    <row r="30" spans="1:13" ht="14.25" customHeight="1" x14ac:dyDescent="0.3">
      <c r="A30" s="8" t="s">
        <v>270</v>
      </c>
      <c r="B30" s="32">
        <f>B2*B4*B5</f>
        <v>3900000</v>
      </c>
      <c r="C30" s="32">
        <f t="shared" ref="C30:L30" si="3">C28-C29</f>
        <v>570983.09343085578</v>
      </c>
      <c r="D30" s="32">
        <f t="shared" si="3"/>
        <v>628081.4027739414</v>
      </c>
      <c r="E30" s="32">
        <f t="shared" si="3"/>
        <v>690889.54305133549</v>
      </c>
      <c r="F30" s="32">
        <f t="shared" si="3"/>
        <v>759978.49735646904</v>
      </c>
      <c r="G30" s="32">
        <f t="shared" si="3"/>
        <v>835976.3470921159</v>
      </c>
      <c r="H30" s="32">
        <f t="shared" si="3"/>
        <v>919573.98180132755</v>
      </c>
      <c r="I30" s="32">
        <f t="shared" si="3"/>
        <v>1011531.3799814603</v>
      </c>
      <c r="J30" s="32">
        <f t="shared" si="3"/>
        <v>1112684.5179796063</v>
      </c>
      <c r="K30" s="32">
        <f t="shared" si="3"/>
        <v>1223952.9697775668</v>
      </c>
      <c r="L30" s="32">
        <f t="shared" si="3"/>
        <v>1346348.2667553236</v>
      </c>
      <c r="M30" s="32">
        <f>SUM(C30:L30)</f>
        <v>9100000.0000000019</v>
      </c>
    </row>
    <row r="31" spans="1:13" ht="14.25" customHeight="1" x14ac:dyDescent="0.3">
      <c r="A31" s="8" t="s">
        <v>271</v>
      </c>
      <c r="B31" s="32">
        <f>B23</f>
        <v>9100000</v>
      </c>
      <c r="C31" s="32">
        <f t="shared" ref="C31:L31" si="4">C27-C30</f>
        <v>8529016.9065691438</v>
      </c>
      <c r="D31" s="32">
        <f t="shared" si="4"/>
        <v>7900935.5037952028</v>
      </c>
      <c r="E31" s="32">
        <f t="shared" si="4"/>
        <v>7210045.9607438669</v>
      </c>
      <c r="F31" s="32">
        <f t="shared" si="4"/>
        <v>6450067.463387398</v>
      </c>
      <c r="G31" s="32">
        <f t="shared" si="4"/>
        <v>5614091.1162952818</v>
      </c>
      <c r="H31" s="32">
        <f t="shared" si="4"/>
        <v>4694517.1344939545</v>
      </c>
      <c r="I31" s="32">
        <f t="shared" si="4"/>
        <v>3682985.7545124944</v>
      </c>
      <c r="J31" s="32">
        <f t="shared" si="4"/>
        <v>2570301.2365328884</v>
      </c>
      <c r="K31" s="32">
        <f t="shared" si="4"/>
        <v>1346348.2667553215</v>
      </c>
      <c r="L31" s="32">
        <f t="shared" si="4"/>
        <v>-2.0954757928848267E-9</v>
      </c>
      <c r="M31" s="8"/>
    </row>
    <row r="32" spans="1:13" ht="14.25" customHeight="1" x14ac:dyDescent="0.3">
      <c r="A32" s="8" t="s">
        <v>272</v>
      </c>
      <c r="B32" s="43">
        <v>1</v>
      </c>
      <c r="C32" s="43">
        <v>0.85</v>
      </c>
      <c r="D32" s="43">
        <v>0.8</v>
      </c>
      <c r="E32" s="43">
        <v>0.75</v>
      </c>
      <c r="F32" s="43">
        <v>0.65</v>
      </c>
      <c r="G32" s="43">
        <v>0.6</v>
      </c>
      <c r="H32" s="43">
        <v>0.55000000000000004</v>
      </c>
      <c r="I32" s="43">
        <v>0.45</v>
      </c>
      <c r="J32" s="43">
        <v>0.4</v>
      </c>
      <c r="K32" s="43">
        <v>0.35</v>
      </c>
      <c r="L32" s="43">
        <v>0.25</v>
      </c>
      <c r="M32" s="8"/>
    </row>
    <row r="33" spans="1:13" ht="14.25" customHeight="1" x14ac:dyDescent="0.3">
      <c r="A33" s="8" t="s">
        <v>273</v>
      </c>
      <c r="B33" s="32">
        <f t="shared" ref="B33:L33" si="5">(B32*$B$2*$B$4)*-1</f>
        <v>-13000000</v>
      </c>
      <c r="C33" s="32">
        <f t="shared" si="5"/>
        <v>-11050000</v>
      </c>
      <c r="D33" s="32">
        <f t="shared" si="5"/>
        <v>-10400000</v>
      </c>
      <c r="E33" s="32">
        <f t="shared" si="5"/>
        <v>-9750000</v>
      </c>
      <c r="F33" s="32">
        <f t="shared" si="5"/>
        <v>-8450000</v>
      </c>
      <c r="G33" s="32">
        <f t="shared" si="5"/>
        <v>-7800000</v>
      </c>
      <c r="H33" s="32">
        <f t="shared" si="5"/>
        <v>-7150000</v>
      </c>
      <c r="I33" s="32">
        <f t="shared" si="5"/>
        <v>-5850000</v>
      </c>
      <c r="J33" s="32">
        <f t="shared" si="5"/>
        <v>-5200000</v>
      </c>
      <c r="K33" s="32">
        <f t="shared" si="5"/>
        <v>-4550000</v>
      </c>
      <c r="L33" s="32">
        <f t="shared" si="5"/>
        <v>-3250000</v>
      </c>
      <c r="M33" s="32">
        <f>L33</f>
        <v>-3250000</v>
      </c>
    </row>
    <row r="34" spans="1:13" ht="14.25" customHeight="1" x14ac:dyDescent="0.3">
      <c r="A34" s="28" t="s">
        <v>309</v>
      </c>
      <c r="B34" s="52"/>
      <c r="C34" s="52"/>
      <c r="D34" s="52"/>
      <c r="E34" s="52"/>
      <c r="F34" s="52"/>
      <c r="G34" s="52"/>
      <c r="H34" s="52"/>
      <c r="I34" s="52">
        <f>B6*B4</f>
        <v>560000</v>
      </c>
      <c r="J34" s="52"/>
      <c r="K34" s="52"/>
      <c r="L34" s="52"/>
      <c r="M34" s="52">
        <f>SUM(I34:L34)</f>
        <v>560000</v>
      </c>
    </row>
    <row r="35" spans="1:13" ht="14.25" customHeight="1" x14ac:dyDescent="0.3">
      <c r="A35" s="28" t="s">
        <v>310</v>
      </c>
      <c r="B35" s="52"/>
      <c r="C35" s="52"/>
      <c r="D35" s="52"/>
      <c r="E35" s="52"/>
      <c r="F35" s="52"/>
      <c r="G35" s="52"/>
      <c r="H35" s="52"/>
      <c r="I35" s="52"/>
      <c r="J35" s="52"/>
      <c r="K35" s="52"/>
      <c r="L35" s="52"/>
      <c r="M35" s="52">
        <f>M28+M33+B30+M34</f>
        <v>16669830.934308559</v>
      </c>
    </row>
    <row r="36" spans="1:13" ht="14.25" customHeight="1" x14ac:dyDescent="0.3"/>
    <row r="37" spans="1:13" ht="14.25" customHeight="1" x14ac:dyDescent="0.3">
      <c r="A37" s="3" t="s">
        <v>274</v>
      </c>
      <c r="B37" s="3" t="s">
        <v>255</v>
      </c>
      <c r="C37" s="3" t="s">
        <v>256</v>
      </c>
      <c r="D37" s="3" t="s">
        <v>257</v>
      </c>
      <c r="E37" s="3" t="s">
        <v>258</v>
      </c>
      <c r="F37" s="3" t="s">
        <v>259</v>
      </c>
      <c r="G37" s="3" t="s">
        <v>260</v>
      </c>
      <c r="H37" s="3" t="s">
        <v>261</v>
      </c>
      <c r="I37" s="3" t="s">
        <v>262</v>
      </c>
      <c r="J37" s="3" t="s">
        <v>263</v>
      </c>
      <c r="K37" s="3" t="s">
        <v>264</v>
      </c>
      <c r="L37" s="3" t="s">
        <v>265</v>
      </c>
      <c r="M37" s="3" t="s">
        <v>266</v>
      </c>
    </row>
    <row r="38" spans="1:13" ht="14.25" customHeight="1" x14ac:dyDescent="0.3">
      <c r="A38" s="8" t="s">
        <v>267</v>
      </c>
      <c r="B38" s="8"/>
      <c r="C38" s="32">
        <f t="shared" ref="C38:L38" si="6">B42</f>
        <v>425213</v>
      </c>
      <c r="D38" s="32">
        <f t="shared" si="6"/>
        <v>395860.76402265049</v>
      </c>
      <c r="E38" s="32">
        <f t="shared" si="6"/>
        <v>364160.34916711302</v>
      </c>
      <c r="F38" s="32">
        <f t="shared" si="6"/>
        <v>329923.90112313256</v>
      </c>
      <c r="G38" s="32">
        <f t="shared" si="6"/>
        <v>292948.53723563364</v>
      </c>
      <c r="H38" s="32">
        <f t="shared" si="6"/>
        <v>253015.14423713481</v>
      </c>
      <c r="I38" s="32">
        <f t="shared" si="6"/>
        <v>209887.07979875605</v>
      </c>
      <c r="J38" s="32">
        <f t="shared" si="6"/>
        <v>163308.770205307</v>
      </c>
      <c r="K38" s="32">
        <f t="shared" si="6"/>
        <v>113004.19584438202</v>
      </c>
      <c r="L38" s="32">
        <f t="shared" si="6"/>
        <v>58675.255534583055</v>
      </c>
      <c r="M38" s="8"/>
    </row>
    <row r="39" spans="1:13" ht="14.25" customHeight="1" x14ac:dyDescent="0.3">
      <c r="A39" s="8" t="s">
        <v>268</v>
      </c>
      <c r="B39" s="8"/>
      <c r="C39" s="32">
        <f t="shared" ref="C39:L39" si="7">$D$24</f>
        <v>63369.275977349527</v>
      </c>
      <c r="D39" s="32">
        <f t="shared" si="7"/>
        <v>63369.275977349527</v>
      </c>
      <c r="E39" s="32">
        <f t="shared" si="7"/>
        <v>63369.275977349527</v>
      </c>
      <c r="F39" s="32">
        <f t="shared" si="7"/>
        <v>63369.275977349527</v>
      </c>
      <c r="G39" s="32">
        <f t="shared" si="7"/>
        <v>63369.275977349527</v>
      </c>
      <c r="H39" s="32">
        <f t="shared" si="7"/>
        <v>63369.275977349527</v>
      </c>
      <c r="I39" s="32">
        <f t="shared" si="7"/>
        <v>63369.275977349527</v>
      </c>
      <c r="J39" s="32">
        <f t="shared" si="7"/>
        <v>63369.275977349527</v>
      </c>
      <c r="K39" s="32">
        <f t="shared" si="7"/>
        <v>63369.275977349527</v>
      </c>
      <c r="L39" s="32">
        <f t="shared" si="7"/>
        <v>63369.275977349527</v>
      </c>
      <c r="M39" s="32">
        <f>SUM(C39:L39)</f>
        <v>633692.75977349526</v>
      </c>
    </row>
    <row r="40" spans="1:13" ht="14.25" customHeight="1" x14ac:dyDescent="0.3">
      <c r="A40" s="8" t="s">
        <v>269</v>
      </c>
      <c r="B40" s="8"/>
      <c r="C40" s="32">
        <f t="shared" ref="C40:L40" si="8">C38*$B$11</f>
        <v>34017.040000000001</v>
      </c>
      <c r="D40" s="32">
        <f t="shared" si="8"/>
        <v>31668.861121812039</v>
      </c>
      <c r="E40" s="32">
        <f t="shared" si="8"/>
        <v>29132.827933369041</v>
      </c>
      <c r="F40" s="32">
        <f t="shared" si="8"/>
        <v>26393.912089850604</v>
      </c>
      <c r="G40" s="32">
        <f t="shared" si="8"/>
        <v>23435.882978850692</v>
      </c>
      <c r="H40" s="32">
        <f t="shared" si="8"/>
        <v>20241.211538970787</v>
      </c>
      <c r="I40" s="32">
        <f t="shared" si="8"/>
        <v>16790.966383900486</v>
      </c>
      <c r="J40" s="32">
        <f t="shared" si="8"/>
        <v>13064.70161642456</v>
      </c>
      <c r="K40" s="32">
        <f t="shared" si="8"/>
        <v>9040.335667550562</v>
      </c>
      <c r="L40" s="32">
        <f t="shared" si="8"/>
        <v>4694.0204427666449</v>
      </c>
      <c r="M40" s="32">
        <f>SUM(C40:L40)</f>
        <v>208479.75977349543</v>
      </c>
    </row>
    <row r="41" spans="1:13" ht="14.25" customHeight="1" x14ac:dyDescent="0.3">
      <c r="A41" s="8" t="s">
        <v>270</v>
      </c>
      <c r="B41" s="8"/>
      <c r="C41" s="32">
        <f t="shared" ref="C41:L41" si="9">C39-C40</f>
        <v>29352.235977349526</v>
      </c>
      <c r="D41" s="32">
        <f t="shared" si="9"/>
        <v>31700.414855537489</v>
      </c>
      <c r="E41" s="32">
        <f t="shared" si="9"/>
        <v>34236.44804398049</v>
      </c>
      <c r="F41" s="32">
        <f t="shared" si="9"/>
        <v>36975.363887498926</v>
      </c>
      <c r="G41" s="32">
        <f t="shared" si="9"/>
        <v>39933.392998498835</v>
      </c>
      <c r="H41" s="32">
        <f t="shared" si="9"/>
        <v>43128.064438378744</v>
      </c>
      <c r="I41" s="32">
        <f t="shared" si="9"/>
        <v>46578.309593449041</v>
      </c>
      <c r="J41" s="32">
        <f t="shared" si="9"/>
        <v>50304.574360924969</v>
      </c>
      <c r="K41" s="32">
        <f t="shared" si="9"/>
        <v>54328.940309798963</v>
      </c>
      <c r="L41" s="32">
        <f t="shared" si="9"/>
        <v>58675.255534582881</v>
      </c>
      <c r="M41" s="32">
        <f>SUM(C41:L41)</f>
        <v>425212.99999999988</v>
      </c>
    </row>
    <row r="42" spans="1:13" ht="14.25" customHeight="1" x14ac:dyDescent="0.3">
      <c r="A42" s="8" t="s">
        <v>271</v>
      </c>
      <c r="B42" s="32">
        <f>B3</f>
        <v>425213</v>
      </c>
      <c r="C42" s="32">
        <f t="shared" ref="C42:L42" si="10">C38-C41</f>
        <v>395860.76402265049</v>
      </c>
      <c r="D42" s="32">
        <f t="shared" si="10"/>
        <v>364160.34916711302</v>
      </c>
      <c r="E42" s="32">
        <f t="shared" si="10"/>
        <v>329923.90112313256</v>
      </c>
      <c r="F42" s="32">
        <f t="shared" si="10"/>
        <v>292948.53723563364</v>
      </c>
      <c r="G42" s="32">
        <f t="shared" si="10"/>
        <v>253015.14423713481</v>
      </c>
      <c r="H42" s="32">
        <f t="shared" si="10"/>
        <v>209887.07979875605</v>
      </c>
      <c r="I42" s="32">
        <f t="shared" si="10"/>
        <v>163308.770205307</v>
      </c>
      <c r="J42" s="32">
        <f t="shared" si="10"/>
        <v>113004.19584438202</v>
      </c>
      <c r="K42" s="32">
        <f t="shared" si="10"/>
        <v>58675.255534583055</v>
      </c>
      <c r="L42" s="32">
        <f t="shared" si="10"/>
        <v>1.7462298274040222E-10</v>
      </c>
      <c r="M42" s="8"/>
    </row>
    <row r="43" spans="1:13" ht="14.25" customHeight="1" x14ac:dyDescent="0.3"/>
    <row r="44" spans="1:13" ht="14.25" customHeight="1" x14ac:dyDescent="0.3">
      <c r="A44" s="3" t="s">
        <v>117</v>
      </c>
      <c r="B44" s="3" t="s">
        <v>255</v>
      </c>
      <c r="C44" s="3" t="s">
        <v>256</v>
      </c>
      <c r="D44" s="3" t="s">
        <v>257</v>
      </c>
      <c r="E44" s="3" t="s">
        <v>258</v>
      </c>
      <c r="F44" s="3" t="s">
        <v>259</v>
      </c>
      <c r="G44" s="3" t="s">
        <v>260</v>
      </c>
      <c r="H44" s="3" t="s">
        <v>261</v>
      </c>
      <c r="I44" s="3" t="s">
        <v>262</v>
      </c>
      <c r="J44" s="3" t="s">
        <v>263</v>
      </c>
      <c r="K44" s="3" t="s">
        <v>264</v>
      </c>
      <c r="L44" s="3" t="s">
        <v>265</v>
      </c>
      <c r="M44" s="3" t="s">
        <v>266</v>
      </c>
    </row>
    <row r="45" spans="1:13" ht="14.25" customHeight="1" x14ac:dyDescent="0.3">
      <c r="A45" s="19" t="s">
        <v>275</v>
      </c>
      <c r="B45" s="19"/>
      <c r="C45" s="19"/>
      <c r="D45" s="19"/>
      <c r="E45" s="19"/>
      <c r="F45" s="19"/>
      <c r="G45" s="19"/>
      <c r="H45" s="19"/>
      <c r="I45" s="19"/>
      <c r="J45" s="19"/>
      <c r="K45" s="19"/>
      <c r="L45" s="19"/>
      <c r="M45" s="19"/>
    </row>
    <row r="46" spans="1:13" ht="14.25" customHeight="1" x14ac:dyDescent="0.3">
      <c r="A46" s="8" t="s">
        <v>311</v>
      </c>
      <c r="B46" s="28"/>
      <c r="C46" s="45">
        <f>B16</f>
        <v>7.0000000000000007E-2</v>
      </c>
      <c r="D46" s="8">
        <f t="shared" ref="D46:L46" si="11">C46*(1+D47)</f>
        <v>7.2100000000000011E-2</v>
      </c>
      <c r="E46" s="8">
        <f t="shared" si="11"/>
        <v>7.426300000000001E-2</v>
      </c>
      <c r="F46" s="8">
        <f t="shared" si="11"/>
        <v>7.6490890000000006E-2</v>
      </c>
      <c r="G46" s="8">
        <f t="shared" si="11"/>
        <v>7.8785616700000005E-2</v>
      </c>
      <c r="H46" s="8">
        <f t="shared" si="11"/>
        <v>8.1149185201000007E-2</v>
      </c>
      <c r="I46" s="8">
        <f t="shared" si="11"/>
        <v>8.3583660757030012E-2</v>
      </c>
      <c r="J46" s="8">
        <f t="shared" si="11"/>
        <v>8.6091170579740917E-2</v>
      </c>
      <c r="K46" s="8">
        <f t="shared" si="11"/>
        <v>8.867390569713314E-2</v>
      </c>
      <c r="L46" s="8">
        <f t="shared" si="11"/>
        <v>9.1334122868047138E-2</v>
      </c>
      <c r="M46" s="8"/>
    </row>
    <row r="47" spans="1:13" ht="14.25" customHeight="1" x14ac:dyDescent="0.3">
      <c r="A47" s="8" t="s">
        <v>277</v>
      </c>
      <c r="B47" s="44"/>
      <c r="C47" s="44">
        <f t="shared" ref="C47:L47" si="12">$B$17</f>
        <v>0.03</v>
      </c>
      <c r="D47" s="44">
        <f t="shared" si="12"/>
        <v>0.03</v>
      </c>
      <c r="E47" s="44">
        <f t="shared" si="12"/>
        <v>0.03</v>
      </c>
      <c r="F47" s="44">
        <f t="shared" si="12"/>
        <v>0.03</v>
      </c>
      <c r="G47" s="44">
        <f t="shared" si="12"/>
        <v>0.03</v>
      </c>
      <c r="H47" s="44">
        <f t="shared" si="12"/>
        <v>0.03</v>
      </c>
      <c r="I47" s="44">
        <f t="shared" si="12"/>
        <v>0.03</v>
      </c>
      <c r="J47" s="44">
        <f t="shared" si="12"/>
        <v>0.03</v>
      </c>
      <c r="K47" s="44">
        <f t="shared" si="12"/>
        <v>0.03</v>
      </c>
      <c r="L47" s="44">
        <f t="shared" si="12"/>
        <v>0.03</v>
      </c>
      <c r="M47" s="8"/>
    </row>
    <row r="48" spans="1:13" ht="14.25" customHeight="1" x14ac:dyDescent="0.3">
      <c r="A48" s="5" t="s">
        <v>312</v>
      </c>
      <c r="B48" s="8"/>
      <c r="C48" s="8">
        <f t="shared" ref="C48:L48" si="13">$B$18</f>
        <v>1.33</v>
      </c>
      <c r="D48" s="8">
        <f t="shared" si="13"/>
        <v>1.33</v>
      </c>
      <c r="E48" s="8">
        <f t="shared" si="13"/>
        <v>1.33</v>
      </c>
      <c r="F48" s="8">
        <f t="shared" si="13"/>
        <v>1.33</v>
      </c>
      <c r="G48" s="8">
        <f t="shared" si="13"/>
        <v>1.33</v>
      </c>
      <c r="H48" s="8">
        <f t="shared" si="13"/>
        <v>1.33</v>
      </c>
      <c r="I48" s="8">
        <f t="shared" si="13"/>
        <v>1.33</v>
      </c>
      <c r="J48" s="8">
        <f t="shared" si="13"/>
        <v>1.33</v>
      </c>
      <c r="K48" s="8">
        <f t="shared" si="13"/>
        <v>1.33</v>
      </c>
      <c r="L48" s="8">
        <f t="shared" si="13"/>
        <v>1.33</v>
      </c>
      <c r="M48" s="8"/>
    </row>
    <row r="49" spans="1:26" ht="14.25" customHeight="1" x14ac:dyDescent="0.3">
      <c r="A49" s="8" t="s">
        <v>313</v>
      </c>
      <c r="B49" s="32"/>
      <c r="C49" s="32">
        <f t="shared" ref="C49:L49" si="14">+$B$4*$B$15*(C46/C48)</f>
        <v>295326.31578947371</v>
      </c>
      <c r="D49" s="32">
        <f t="shared" si="14"/>
        <v>304186.10526315792</v>
      </c>
      <c r="E49" s="32">
        <f t="shared" si="14"/>
        <v>313311.68842105265</v>
      </c>
      <c r="F49" s="32">
        <f t="shared" si="14"/>
        <v>322711.03907368419</v>
      </c>
      <c r="G49" s="32">
        <f t="shared" si="14"/>
        <v>332392.37024589477</v>
      </c>
      <c r="H49" s="32">
        <f t="shared" si="14"/>
        <v>342364.14135327161</v>
      </c>
      <c r="I49" s="32">
        <f t="shared" si="14"/>
        <v>352635.06559386977</v>
      </c>
      <c r="J49" s="32">
        <f t="shared" si="14"/>
        <v>363214.11756168591</v>
      </c>
      <c r="K49" s="32">
        <f t="shared" si="14"/>
        <v>374110.54108853638</v>
      </c>
      <c r="L49" s="32">
        <f t="shared" si="14"/>
        <v>385333.85732119257</v>
      </c>
      <c r="M49" s="32">
        <f>SUM(B49:L49)</f>
        <v>3385585.2417118195</v>
      </c>
    </row>
    <row r="50" spans="1:26" ht="14.25" customHeight="1" x14ac:dyDescent="0.3">
      <c r="A50" s="3" t="s">
        <v>280</v>
      </c>
      <c r="B50" s="3"/>
      <c r="C50" s="3"/>
      <c r="D50" s="3"/>
      <c r="E50" s="3"/>
      <c r="F50" s="3"/>
      <c r="G50" s="3"/>
      <c r="H50" s="3"/>
      <c r="I50" s="3"/>
      <c r="J50" s="3"/>
      <c r="K50" s="3"/>
      <c r="L50" s="3"/>
      <c r="M50" s="3"/>
    </row>
    <row r="51" spans="1:26" ht="14.25" customHeight="1" x14ac:dyDescent="0.3">
      <c r="A51" s="8" t="s">
        <v>281</v>
      </c>
      <c r="B51" s="8"/>
      <c r="C51" s="45">
        <f>B19</f>
        <v>9.9000000000000005E-2</v>
      </c>
      <c r="D51" s="8">
        <f t="shared" ref="D51:L51" si="15">C51*(1+D52)</f>
        <v>0.105237</v>
      </c>
      <c r="E51" s="8">
        <f t="shared" si="15"/>
        <v>0.11186693099999999</v>
      </c>
      <c r="F51" s="8">
        <f t="shared" si="15"/>
        <v>0.11891454765299998</v>
      </c>
      <c r="G51" s="8">
        <f t="shared" si="15"/>
        <v>0.12640616415513897</v>
      </c>
      <c r="H51" s="8">
        <f t="shared" si="15"/>
        <v>0.13436975249691271</v>
      </c>
      <c r="I51" s="8">
        <f t="shared" si="15"/>
        <v>0.14283504690421822</v>
      </c>
      <c r="J51" s="8">
        <f t="shared" si="15"/>
        <v>0.15183365485918396</v>
      </c>
      <c r="K51" s="8">
        <f t="shared" si="15"/>
        <v>0.16139917511531254</v>
      </c>
      <c r="L51" s="8">
        <f t="shared" si="15"/>
        <v>0.17156732314757722</v>
      </c>
      <c r="M51" s="8"/>
    </row>
    <row r="52" spans="1:26" ht="14.25" customHeight="1" x14ac:dyDescent="0.3">
      <c r="A52" s="8" t="s">
        <v>282</v>
      </c>
      <c r="B52" s="46"/>
      <c r="C52" s="46">
        <f t="shared" ref="C52:L52" si="16">$B$20</f>
        <v>6.3E-2</v>
      </c>
      <c r="D52" s="46">
        <f t="shared" si="16"/>
        <v>6.3E-2</v>
      </c>
      <c r="E52" s="46">
        <f t="shared" si="16"/>
        <v>6.3E-2</v>
      </c>
      <c r="F52" s="46">
        <f t="shared" si="16"/>
        <v>6.3E-2</v>
      </c>
      <c r="G52" s="46">
        <f t="shared" si="16"/>
        <v>6.3E-2</v>
      </c>
      <c r="H52" s="46">
        <f t="shared" si="16"/>
        <v>6.3E-2</v>
      </c>
      <c r="I52" s="46">
        <f t="shared" si="16"/>
        <v>6.3E-2</v>
      </c>
      <c r="J52" s="46">
        <f t="shared" si="16"/>
        <v>6.3E-2</v>
      </c>
      <c r="K52" s="46">
        <f t="shared" si="16"/>
        <v>6.3E-2</v>
      </c>
      <c r="L52" s="46">
        <f t="shared" si="16"/>
        <v>6.3E-2</v>
      </c>
      <c r="M52" s="8"/>
    </row>
    <row r="53" spans="1:26" ht="14.25" customHeight="1" x14ac:dyDescent="0.3">
      <c r="A53" s="8" t="s">
        <v>283</v>
      </c>
      <c r="B53" s="32"/>
      <c r="C53" s="32">
        <f t="shared" ref="C53:L53" si="17">+$B$4*$B$15*C51</f>
        <v>555508.80000000005</v>
      </c>
      <c r="D53" s="32">
        <f t="shared" si="17"/>
        <v>590505.85439999995</v>
      </c>
      <c r="E53" s="32">
        <f t="shared" si="17"/>
        <v>627707.72322719998</v>
      </c>
      <c r="F53" s="32">
        <f t="shared" si="17"/>
        <v>667253.30979051348</v>
      </c>
      <c r="G53" s="32">
        <f t="shared" si="17"/>
        <v>709290.26830731577</v>
      </c>
      <c r="H53" s="32">
        <f t="shared" si="17"/>
        <v>753975.55521067663</v>
      </c>
      <c r="I53" s="32">
        <f t="shared" si="17"/>
        <v>801476.0151889493</v>
      </c>
      <c r="J53" s="32">
        <f t="shared" si="17"/>
        <v>851969.00414585299</v>
      </c>
      <c r="K53" s="32">
        <f t="shared" si="17"/>
        <v>905643.05140704173</v>
      </c>
      <c r="L53" s="32">
        <f t="shared" si="17"/>
        <v>962698.56364568532</v>
      </c>
      <c r="M53" s="32">
        <f>SUM(B53:L53)</f>
        <v>7426028.1453232355</v>
      </c>
    </row>
    <row r="54" spans="1:26" ht="14.25" customHeight="1" x14ac:dyDescent="0.3">
      <c r="A54" s="8" t="s">
        <v>314</v>
      </c>
      <c r="B54" s="32"/>
      <c r="C54" s="32">
        <f>'Basic Inputs'!C42*B4*B9</f>
        <v>490000.00000000006</v>
      </c>
      <c r="D54" s="32">
        <f t="shared" ref="D54:L54" si="18">+C54*(1+D55)</f>
        <v>480200.00000000006</v>
      </c>
      <c r="E54" s="32">
        <f t="shared" si="18"/>
        <v>470596.00000000006</v>
      </c>
      <c r="F54" s="32">
        <f t="shared" si="18"/>
        <v>461184.08000000007</v>
      </c>
      <c r="G54" s="32">
        <f t="shared" si="18"/>
        <v>451960.39840000006</v>
      </c>
      <c r="H54" s="32">
        <f t="shared" si="18"/>
        <v>442921.19043200003</v>
      </c>
      <c r="I54" s="32">
        <f t="shared" si="18"/>
        <v>434062.76662336005</v>
      </c>
      <c r="J54" s="32">
        <f t="shared" si="18"/>
        <v>425381.51129089284</v>
      </c>
      <c r="K54" s="32">
        <f t="shared" si="18"/>
        <v>416873.88106507499</v>
      </c>
      <c r="L54" s="32">
        <f t="shared" si="18"/>
        <v>408536.40344377351</v>
      </c>
      <c r="M54" s="32">
        <f>SUM(B54:L54)</f>
        <v>4481716.231255102</v>
      </c>
    </row>
    <row r="55" spans="1:26" ht="14.25" customHeight="1" x14ac:dyDescent="0.3">
      <c r="A55" s="8" t="s">
        <v>277</v>
      </c>
      <c r="B55" s="43"/>
      <c r="C55" s="43">
        <v>-0.02</v>
      </c>
      <c r="D55" s="43">
        <v>-0.02</v>
      </c>
      <c r="E55" s="43">
        <v>-0.02</v>
      </c>
      <c r="F55" s="43">
        <v>-0.02</v>
      </c>
      <c r="G55" s="43">
        <v>-0.02</v>
      </c>
      <c r="H55" s="43">
        <v>-0.02</v>
      </c>
      <c r="I55" s="43">
        <v>-0.02</v>
      </c>
      <c r="J55" s="43">
        <v>-0.02</v>
      </c>
      <c r="K55" s="43">
        <v>-0.02</v>
      </c>
      <c r="L55" s="43">
        <v>-0.02</v>
      </c>
      <c r="M55" s="8"/>
    </row>
    <row r="56" spans="1:26" ht="14.25" customHeight="1" x14ac:dyDescent="0.3">
      <c r="A56" s="8" t="s">
        <v>315</v>
      </c>
      <c r="B56" s="32"/>
      <c r="C56" s="32">
        <f>'Infrastructure Cost'!C12*'Infrastructure Cost'!C13*B10</f>
        <v>2160</v>
      </c>
      <c r="D56" s="32">
        <f t="shared" ref="D56:L56" si="19">+C56*(1+D57)</f>
        <v>2116.8000000000002</v>
      </c>
      <c r="E56" s="32">
        <f t="shared" si="19"/>
        <v>2074.4639999999999</v>
      </c>
      <c r="F56" s="32">
        <f t="shared" si="19"/>
        <v>2032.9747199999999</v>
      </c>
      <c r="G56" s="32">
        <f t="shared" si="19"/>
        <v>1992.3152255999998</v>
      </c>
      <c r="H56" s="32">
        <f t="shared" si="19"/>
        <v>1952.4689210879999</v>
      </c>
      <c r="I56" s="32">
        <f t="shared" si="19"/>
        <v>1913.4195426662397</v>
      </c>
      <c r="J56" s="32">
        <f t="shared" si="19"/>
        <v>1875.151151812915</v>
      </c>
      <c r="K56" s="32">
        <f t="shared" si="19"/>
        <v>1837.6481287766567</v>
      </c>
      <c r="L56" s="32">
        <f t="shared" si="19"/>
        <v>1800.8951662011234</v>
      </c>
      <c r="M56" s="32">
        <f>SUM(B56:L56)</f>
        <v>19756.136856144934</v>
      </c>
    </row>
    <row r="57" spans="1:26" ht="14.25" customHeight="1" x14ac:dyDescent="0.3">
      <c r="A57" s="8" t="s">
        <v>277</v>
      </c>
      <c r="B57" s="32"/>
      <c r="C57" s="43">
        <v>-0.02</v>
      </c>
      <c r="D57" s="43">
        <v>-0.02</v>
      </c>
      <c r="E57" s="43">
        <v>-0.02</v>
      </c>
      <c r="F57" s="43">
        <v>-0.02</v>
      </c>
      <c r="G57" s="43">
        <v>-0.02</v>
      </c>
      <c r="H57" s="43">
        <v>-0.02</v>
      </c>
      <c r="I57" s="43">
        <v>-0.02</v>
      </c>
      <c r="J57" s="43">
        <v>-0.02</v>
      </c>
      <c r="K57" s="43">
        <v>-0.02</v>
      </c>
      <c r="L57" s="43">
        <v>-0.02</v>
      </c>
      <c r="M57" s="8"/>
    </row>
    <row r="58" spans="1:26" ht="14.25" customHeight="1" x14ac:dyDescent="0.3">
      <c r="A58" s="8" t="s">
        <v>285</v>
      </c>
      <c r="B58" s="32"/>
      <c r="C58" s="32">
        <f>'Basic Inputs'!C48*B13</f>
        <v>1063.0325</v>
      </c>
      <c r="D58" s="32">
        <f t="shared" ref="D58:L58" si="20">+C58*(1+D59)</f>
        <v>1130.0035475</v>
      </c>
      <c r="E58" s="32">
        <f t="shared" si="20"/>
        <v>1201.1937709924998</v>
      </c>
      <c r="F58" s="32">
        <f t="shared" si="20"/>
        <v>1276.8689785650272</v>
      </c>
      <c r="G58" s="32">
        <f t="shared" si="20"/>
        <v>1357.3117242146238</v>
      </c>
      <c r="H58" s="32">
        <f t="shared" si="20"/>
        <v>1442.8223628401452</v>
      </c>
      <c r="I58" s="32">
        <f t="shared" si="20"/>
        <v>1533.7201716990742</v>
      </c>
      <c r="J58" s="32">
        <f t="shared" si="20"/>
        <v>1630.3445425161158</v>
      </c>
      <c r="K58" s="32">
        <f t="shared" si="20"/>
        <v>1733.056248694631</v>
      </c>
      <c r="L58" s="32">
        <f t="shared" si="20"/>
        <v>1842.2387923623926</v>
      </c>
      <c r="M58" s="8"/>
    </row>
    <row r="59" spans="1:26" ht="14.25" customHeight="1" x14ac:dyDescent="0.3">
      <c r="A59" s="8" t="s">
        <v>286</v>
      </c>
      <c r="B59" s="46"/>
      <c r="C59" s="46">
        <f t="shared" ref="C59:L59" si="21">$B$20</f>
        <v>6.3E-2</v>
      </c>
      <c r="D59" s="46">
        <f t="shared" si="21"/>
        <v>6.3E-2</v>
      </c>
      <c r="E59" s="46">
        <f t="shared" si="21"/>
        <v>6.3E-2</v>
      </c>
      <c r="F59" s="46">
        <f t="shared" si="21"/>
        <v>6.3E-2</v>
      </c>
      <c r="G59" s="46">
        <f t="shared" si="21"/>
        <v>6.3E-2</v>
      </c>
      <c r="H59" s="46">
        <f t="shared" si="21"/>
        <v>6.3E-2</v>
      </c>
      <c r="I59" s="46">
        <f t="shared" si="21"/>
        <v>6.3E-2</v>
      </c>
      <c r="J59" s="46">
        <f t="shared" si="21"/>
        <v>6.3E-2</v>
      </c>
      <c r="K59" s="46">
        <f t="shared" si="21"/>
        <v>6.3E-2</v>
      </c>
      <c r="L59" s="46">
        <f t="shared" si="21"/>
        <v>6.3E-2</v>
      </c>
      <c r="M59" s="8"/>
    </row>
    <row r="60" spans="1:26" ht="14.25" customHeight="1" x14ac:dyDescent="0.3">
      <c r="A60" s="8" t="s">
        <v>287</v>
      </c>
      <c r="B60" s="32"/>
      <c r="C60" s="32">
        <f t="shared" ref="C60:L60" si="22">C58</f>
        <v>1063.0325</v>
      </c>
      <c r="D60" s="32">
        <f t="shared" si="22"/>
        <v>1130.0035475</v>
      </c>
      <c r="E60" s="32">
        <f t="shared" si="22"/>
        <v>1201.1937709924998</v>
      </c>
      <c r="F60" s="32">
        <f t="shared" si="22"/>
        <v>1276.8689785650272</v>
      </c>
      <c r="G60" s="32">
        <f t="shared" si="22"/>
        <v>1357.3117242146238</v>
      </c>
      <c r="H60" s="32">
        <f t="shared" si="22"/>
        <v>1442.8223628401452</v>
      </c>
      <c r="I60" s="32">
        <f t="shared" si="22"/>
        <v>1533.7201716990742</v>
      </c>
      <c r="J60" s="32">
        <f t="shared" si="22"/>
        <v>1630.3445425161158</v>
      </c>
      <c r="K60" s="32">
        <f t="shared" si="22"/>
        <v>1733.056248694631</v>
      </c>
      <c r="L60" s="32">
        <f t="shared" si="22"/>
        <v>1842.2387923623926</v>
      </c>
      <c r="M60" s="32">
        <f>SUM(B60:L60)</f>
        <v>14210.592639384507</v>
      </c>
    </row>
    <row r="61" spans="1:26" ht="14.25" customHeight="1" x14ac:dyDescent="0.3">
      <c r="A61" s="8"/>
      <c r="B61" s="8"/>
      <c r="C61" s="8"/>
      <c r="D61" s="8"/>
      <c r="E61" s="8"/>
      <c r="F61" s="8"/>
      <c r="G61" s="8"/>
      <c r="H61" s="8"/>
      <c r="I61" s="8"/>
      <c r="J61" s="8"/>
      <c r="K61" s="8"/>
      <c r="L61" s="8" t="s">
        <v>288</v>
      </c>
      <c r="M61" s="32">
        <f>M53+M54+M60+M56</f>
        <v>11941711.106073868</v>
      </c>
    </row>
    <row r="62" spans="1:26" ht="14.25" customHeight="1" x14ac:dyDescent="0.3">
      <c r="A62" s="3" t="s">
        <v>316</v>
      </c>
      <c r="B62" s="3"/>
      <c r="C62" s="3"/>
      <c r="D62" s="3"/>
      <c r="E62" s="3"/>
      <c r="F62" s="3"/>
      <c r="G62" s="3"/>
      <c r="H62" s="3"/>
      <c r="I62" s="3"/>
      <c r="J62" s="3"/>
      <c r="K62" s="3"/>
      <c r="L62" s="3"/>
      <c r="M62" s="3"/>
      <c r="N62" s="53"/>
      <c r="O62" s="53"/>
      <c r="P62" s="53"/>
      <c r="Q62" s="53"/>
      <c r="R62" s="53"/>
      <c r="S62" s="53"/>
      <c r="T62" s="53"/>
      <c r="U62" s="53"/>
      <c r="V62" s="53"/>
      <c r="W62" s="53"/>
      <c r="X62" s="53"/>
      <c r="Y62" s="53"/>
      <c r="Z62" s="53"/>
    </row>
    <row r="63" spans="1:26" ht="14.25" customHeight="1" x14ac:dyDescent="0.3">
      <c r="A63" s="8" t="s">
        <v>317</v>
      </c>
      <c r="B63" s="8"/>
      <c r="C63" s="32">
        <f>'Basic Inputs'!C5</f>
        <v>178872</v>
      </c>
      <c r="D63" s="8">
        <f t="shared" ref="D63:L63" si="23">C63*(1+D64)</f>
        <v>190140.93599999999</v>
      </c>
      <c r="E63" s="8">
        <f t="shared" si="23"/>
        <v>202119.81496799996</v>
      </c>
      <c r="F63" s="8">
        <f t="shared" si="23"/>
        <v>214853.36331098396</v>
      </c>
      <c r="G63" s="8">
        <f t="shared" si="23"/>
        <v>228389.12519957594</v>
      </c>
      <c r="H63" s="8">
        <f t="shared" si="23"/>
        <v>242777.64008714922</v>
      </c>
      <c r="I63" s="8">
        <f t="shared" si="23"/>
        <v>258072.6314126396</v>
      </c>
      <c r="J63" s="8">
        <f t="shared" si="23"/>
        <v>274331.20719163585</v>
      </c>
      <c r="K63" s="8">
        <f t="shared" si="23"/>
        <v>291614.07324470888</v>
      </c>
      <c r="L63" s="8">
        <f t="shared" si="23"/>
        <v>309985.75985912554</v>
      </c>
      <c r="M63" s="32">
        <f>SUM(C63:L63)</f>
        <v>2391156.5512738186</v>
      </c>
    </row>
    <row r="64" spans="1:26" ht="14.25" customHeight="1" x14ac:dyDescent="0.3">
      <c r="A64" s="8" t="s">
        <v>318</v>
      </c>
      <c r="B64" s="8"/>
      <c r="C64" s="46">
        <f>B20</f>
        <v>6.3E-2</v>
      </c>
      <c r="D64" s="46">
        <f>B20</f>
        <v>6.3E-2</v>
      </c>
      <c r="E64" s="46">
        <f t="shared" ref="E64:L64" si="24">$B$20</f>
        <v>6.3E-2</v>
      </c>
      <c r="F64" s="46">
        <f t="shared" si="24"/>
        <v>6.3E-2</v>
      </c>
      <c r="G64" s="46">
        <f t="shared" si="24"/>
        <v>6.3E-2</v>
      </c>
      <c r="H64" s="46">
        <f t="shared" si="24"/>
        <v>6.3E-2</v>
      </c>
      <c r="I64" s="46">
        <f t="shared" si="24"/>
        <v>6.3E-2</v>
      </c>
      <c r="J64" s="46">
        <f t="shared" si="24"/>
        <v>6.3E-2</v>
      </c>
      <c r="K64" s="46">
        <f t="shared" si="24"/>
        <v>6.3E-2</v>
      </c>
      <c r="L64" s="46">
        <f t="shared" si="24"/>
        <v>6.3E-2</v>
      </c>
      <c r="M64" s="8"/>
    </row>
    <row r="65" spans="1:13" ht="14.25" customHeight="1" x14ac:dyDescent="0.3">
      <c r="A65" s="8"/>
      <c r="B65" s="32"/>
      <c r="C65" s="32"/>
      <c r="D65" s="32"/>
      <c r="E65" s="32"/>
      <c r="F65" s="32"/>
      <c r="G65" s="32"/>
      <c r="H65" s="32"/>
      <c r="I65" s="32"/>
      <c r="J65" s="32"/>
      <c r="K65" s="32"/>
      <c r="L65" s="32"/>
      <c r="M65" s="32"/>
    </row>
    <row r="66" spans="1:13" ht="14.25" customHeight="1" x14ac:dyDescent="0.3">
      <c r="A66" s="8" t="s">
        <v>289</v>
      </c>
      <c r="B66" s="32">
        <f>B30</f>
        <v>3900000</v>
      </c>
      <c r="C66" s="32">
        <f t="shared" ref="C66:L66" si="25">C28+C39+C49+C53+C54+C60+C63</f>
        <v>3065122.5176976793</v>
      </c>
      <c r="D66" s="32">
        <f t="shared" si="25"/>
        <v>3110515.2686188631</v>
      </c>
      <c r="E66" s="32">
        <f t="shared" si="25"/>
        <v>3159288.7897954509</v>
      </c>
      <c r="F66" s="32">
        <f t="shared" si="25"/>
        <v>3211631.0305619519</v>
      </c>
      <c r="G66" s="32">
        <f t="shared" si="25"/>
        <v>3267741.8432852067</v>
      </c>
      <c r="H66" s="32">
        <f t="shared" si="25"/>
        <v>3327833.7188541428</v>
      </c>
      <c r="I66" s="32">
        <f t="shared" si="25"/>
        <v>3392132.5683987234</v>
      </c>
      <c r="J66" s="32">
        <f t="shared" si="25"/>
        <v>3460878.554140789</v>
      </c>
      <c r="K66" s="32">
        <f t="shared" si="25"/>
        <v>3534326.972462262</v>
      </c>
      <c r="L66" s="32">
        <f t="shared" si="25"/>
        <v>3612749.1924703452</v>
      </c>
      <c r="M66" s="32">
        <f>M28+M39+M49+M61+M63</f>
        <v>33811976.593141556</v>
      </c>
    </row>
    <row r="67" spans="1:13" ht="14.25" customHeight="1" x14ac:dyDescent="0.3"/>
    <row r="68" spans="1:13" ht="14.25" customHeight="1" x14ac:dyDescent="0.3"/>
    <row r="69" spans="1:13" ht="14.25" customHeight="1" x14ac:dyDescent="0.3"/>
    <row r="70" spans="1:13" ht="14.25" customHeight="1" x14ac:dyDescent="0.3"/>
    <row r="71" spans="1:13" ht="14.25" customHeight="1" x14ac:dyDescent="0.3"/>
    <row r="72" spans="1:13" ht="14.25" customHeight="1" x14ac:dyDescent="0.3"/>
    <row r="73" spans="1:13" ht="14.25" customHeight="1" x14ac:dyDescent="0.3"/>
    <row r="74" spans="1:13" ht="14.25" customHeight="1" x14ac:dyDescent="0.3"/>
    <row r="75" spans="1:13" ht="14.25" customHeight="1" x14ac:dyDescent="0.3"/>
    <row r="76" spans="1:13" ht="14.25" customHeight="1" x14ac:dyDescent="0.3"/>
    <row r="77" spans="1:13" ht="14.25" customHeight="1" x14ac:dyDescent="0.3"/>
    <row r="78" spans="1:13" ht="14.25" customHeight="1" x14ac:dyDescent="0.3"/>
    <row r="79" spans="1:13" ht="14.25" customHeight="1" x14ac:dyDescent="0.3"/>
    <row r="80" spans="1:13"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99"/>
  <sheetViews>
    <sheetView topLeftCell="D14" workbookViewId="0">
      <selection activeCell="L42" sqref="L42"/>
    </sheetView>
  </sheetViews>
  <sheetFormatPr defaultColWidth="12.5546875" defaultRowHeight="15" customHeight="1" x14ac:dyDescent="0.3"/>
  <cols>
    <col min="1" max="1" width="39.88671875" customWidth="1"/>
    <col min="2" max="2" width="16.33203125" customWidth="1"/>
    <col min="3" max="3" width="21.6640625" customWidth="1"/>
    <col min="4" max="4" width="28.88671875" customWidth="1"/>
    <col min="5" max="6" width="8.5546875" customWidth="1"/>
  </cols>
  <sheetData>
    <row r="1" spans="1:4" ht="14.25" customHeight="1" x14ac:dyDescent="0.3">
      <c r="A1" s="79" t="s">
        <v>319</v>
      </c>
      <c r="B1" s="77"/>
      <c r="C1" s="78"/>
    </row>
    <row r="2" spans="1:4" ht="14.25" customHeight="1" x14ac:dyDescent="0.3">
      <c r="A2" s="3" t="s">
        <v>320</v>
      </c>
      <c r="B2" s="54" t="s">
        <v>321</v>
      </c>
      <c r="C2" s="54" t="s">
        <v>322</v>
      </c>
      <c r="D2" s="54" t="s">
        <v>323</v>
      </c>
    </row>
    <row r="3" spans="1:4" ht="14.25" customHeight="1" x14ac:dyDescent="0.3">
      <c r="A3" s="8" t="s">
        <v>324</v>
      </c>
      <c r="B3" s="9">
        <f>'TCO ICE'!M26/1000000</f>
        <v>9.2689874624715074</v>
      </c>
      <c r="C3" s="9">
        <f>'TCO Electric_BASE'!M28/1000000</f>
        <v>16.649048698486141</v>
      </c>
      <c r="D3" s="9">
        <f>'TCO Electric'!M28/1000000</f>
        <v>15.459830934308558</v>
      </c>
    </row>
    <row r="4" spans="1:4" ht="14.25" customHeight="1" x14ac:dyDescent="0.3">
      <c r="A4" s="8" t="s">
        <v>325</v>
      </c>
      <c r="B4" s="9">
        <f>'TCO ICE'!M35/1000000</f>
        <v>1.1830625186235677</v>
      </c>
      <c r="C4" s="9">
        <f>'TCO Electric_BASE'!M39/1000000</f>
        <v>0.63369275977349526</v>
      </c>
      <c r="D4" s="9">
        <f>'TCO Electric'!M39/1000000</f>
        <v>0.63369275977349526</v>
      </c>
    </row>
    <row r="5" spans="1:4" ht="14.25" customHeight="1" x14ac:dyDescent="0.3">
      <c r="A5" s="8" t="s">
        <v>326</v>
      </c>
      <c r="B5" s="9">
        <f>'TCO ICE'!M45/1000000</f>
        <v>17.174395288452807</v>
      </c>
      <c r="C5" s="9">
        <f>'TCO Electric_BASE'!M49/1000000</f>
        <v>3.3855852417118197</v>
      </c>
      <c r="D5" s="9">
        <f>'TCO Electric'!M49/1000000</f>
        <v>3.3855852417118197</v>
      </c>
    </row>
    <row r="6" spans="1:4" ht="14.25" customHeight="1" x14ac:dyDescent="0.3">
      <c r="A6" s="8" t="s">
        <v>327</v>
      </c>
      <c r="B6" s="9">
        <f>'TCO ICE'!M55/1000000</f>
        <v>14.043778675901951</v>
      </c>
      <c r="C6" s="9">
        <f>'TCO Electric_BASE'!M61/1000000</f>
        <v>11.941711106073868</v>
      </c>
      <c r="D6" s="9">
        <f>'TCO Electric'!M61/1000000</f>
        <v>11.941711106073868</v>
      </c>
    </row>
    <row r="7" spans="1:4" ht="14.25" customHeight="1" x14ac:dyDescent="0.3">
      <c r="A7" s="8" t="s">
        <v>328</v>
      </c>
      <c r="B7" s="55" t="s">
        <v>87</v>
      </c>
      <c r="C7" s="56">
        <f>'TCO Electric_BASE'!M63/1000000</f>
        <v>2.3911565512738187</v>
      </c>
      <c r="D7" s="56">
        <f>'TCO Electric'!M63/1000000</f>
        <v>2.3911565512738187</v>
      </c>
    </row>
    <row r="8" spans="1:4" ht="14.25" customHeight="1" x14ac:dyDescent="0.3">
      <c r="A8" s="8" t="s">
        <v>329</v>
      </c>
      <c r="B8" s="9">
        <f>SUM(B3:B7)</f>
        <v>41.670223945449834</v>
      </c>
      <c r="C8" s="9">
        <f>SUM(C3:C7)</f>
        <v>35.001194357319143</v>
      </c>
      <c r="D8" s="9">
        <f>SUM(D3:D7)</f>
        <v>33.811976593141559</v>
      </c>
    </row>
    <row r="9" spans="1:4" ht="14.25" customHeight="1" x14ac:dyDescent="0.3">
      <c r="A9" s="54" t="s">
        <v>330</v>
      </c>
      <c r="B9" s="57" t="str">
        <f>IF(C8&lt;=B8*(1-0.05),"Conditional GO",IF(ABS(C8-B8)&lt;=B8*0.05,"MAYBE","NO-GO"))</f>
        <v>Conditional GO</v>
      </c>
      <c r="C9" s="54" t="s">
        <v>331</v>
      </c>
      <c r="D9" s="66" t="str">
        <f>IF(D8&lt;=B8*(1-0.05),"Conditional GO",IF(ABS(D8-B8)&lt;=B8*0.05,"MAYBE","NO-GO"))</f>
        <v>Conditional GO</v>
      </c>
    </row>
    <row r="10" spans="1:4" ht="14.25" customHeight="1" x14ac:dyDescent="0.3"/>
    <row r="11" spans="1:4" ht="14.25" customHeight="1" x14ac:dyDescent="0.3"/>
    <row r="12" spans="1:4" ht="14.25" customHeight="1" x14ac:dyDescent="0.3"/>
    <row r="13" spans="1:4" ht="14.25" customHeight="1" x14ac:dyDescent="0.3"/>
    <row r="14" spans="1:4" ht="14.25" customHeight="1" x14ac:dyDescent="0.3"/>
    <row r="15" spans="1:4" ht="14.25" customHeight="1" x14ac:dyDescent="0.3"/>
    <row r="16" spans="1:4"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
    <mergeCell ref="A1:C1"/>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03"/>
  <sheetViews>
    <sheetView topLeftCell="A4" zoomScale="99" zoomScaleNormal="99" workbookViewId="0">
      <selection activeCell="E25" sqref="E25"/>
    </sheetView>
  </sheetViews>
  <sheetFormatPr defaultColWidth="12.5546875" defaultRowHeight="15" customHeight="1" x14ac:dyDescent="0.3"/>
  <cols>
    <col min="1" max="1" width="14.109375" customWidth="1"/>
    <col min="2" max="3" width="13.44140625" customWidth="1"/>
    <col min="4" max="14" width="14.44140625" customWidth="1"/>
  </cols>
  <sheetData>
    <row r="1" spans="1:14" ht="14.25" customHeight="1" x14ac:dyDescent="0.3"/>
    <row r="2" spans="1:14" ht="14.25" customHeight="1" x14ac:dyDescent="0.3">
      <c r="A2" s="58"/>
      <c r="B2" s="58"/>
      <c r="C2" s="58"/>
      <c r="D2" s="58"/>
      <c r="E2" s="58"/>
      <c r="F2" s="58"/>
      <c r="G2" s="58"/>
      <c r="H2" s="58"/>
      <c r="I2" s="58"/>
      <c r="J2" s="58"/>
      <c r="K2" s="58"/>
      <c r="L2" s="58"/>
      <c r="M2" s="58"/>
      <c r="N2" s="58"/>
    </row>
    <row r="3" spans="1:14" ht="14.25" customHeight="1" x14ac:dyDescent="0.3">
      <c r="A3" s="3" t="s">
        <v>332</v>
      </c>
      <c r="B3" s="3" t="s">
        <v>255</v>
      </c>
      <c r="C3" s="3" t="s">
        <v>256</v>
      </c>
      <c r="D3" s="3" t="s">
        <v>257</v>
      </c>
      <c r="E3" s="3" t="s">
        <v>258</v>
      </c>
      <c r="F3" s="3" t="s">
        <v>259</v>
      </c>
      <c r="G3" s="3" t="s">
        <v>260</v>
      </c>
      <c r="H3" s="3" t="s">
        <v>261</v>
      </c>
      <c r="I3" s="3" t="s">
        <v>262</v>
      </c>
      <c r="J3" s="3" t="s">
        <v>263</v>
      </c>
      <c r="K3" s="3" t="s">
        <v>264</v>
      </c>
      <c r="L3" s="3" t="s">
        <v>265</v>
      </c>
      <c r="M3" s="3" t="s">
        <v>115</v>
      </c>
      <c r="N3" s="26"/>
    </row>
    <row r="4" spans="1:14" ht="14.25" customHeight="1" x14ac:dyDescent="0.3">
      <c r="A4" s="2" t="s">
        <v>526</v>
      </c>
      <c r="B4" s="59">
        <f>'TCO ICE'!B57</f>
        <v>1500000</v>
      </c>
      <c r="C4" s="59">
        <f>'TCO ICE'!C57</f>
        <v>3465412.0547132809</v>
      </c>
      <c r="D4" s="59">
        <f>'TCO ICE'!D57</f>
        <v>3596906.1776189413</v>
      </c>
      <c r="E4" s="59">
        <f>'TCO ICE'!E57</f>
        <v>3736630.5572426924</v>
      </c>
      <c r="F4" s="59">
        <f>'TCO ICE'!F57</f>
        <v>3885077.127653115</v>
      </c>
      <c r="G4" s="59">
        <f>'TCO ICE'!G57</f>
        <v>4042767.7314726012</v>
      </c>
      <c r="H4" s="59">
        <f>'TCO ICE'!H57</f>
        <v>4210255.9314815877</v>
      </c>
      <c r="I4" s="59">
        <f>'TCO ICE'!I57</f>
        <v>4388128.93229941</v>
      </c>
      <c r="J4" s="59">
        <f>'TCO ICE'!J57</f>
        <v>4577009.6188360639</v>
      </c>
      <c r="K4" s="59">
        <f>'TCO ICE'!K57</f>
        <v>4777558.7186169326</v>
      </c>
      <c r="L4" s="59">
        <f>'TCO ICE'!L57</f>
        <v>4990477.0955152093</v>
      </c>
      <c r="M4" s="59">
        <f>'TCO ICE'!M57</f>
        <v>41670223.945449837</v>
      </c>
      <c r="N4" s="47">
        <f>SUM(B4:L4)</f>
        <v>43170223.945449829</v>
      </c>
    </row>
    <row r="5" spans="1:14" ht="14.25" customHeight="1" x14ac:dyDescent="0.3">
      <c r="A5" s="2" t="s">
        <v>527</v>
      </c>
      <c r="B5" s="59">
        <f>'TCO Electric'!B66</f>
        <v>3900000</v>
      </c>
      <c r="C5" s="59">
        <f>'TCO Electric'!C66</f>
        <v>3065122.5176976793</v>
      </c>
      <c r="D5" s="59">
        <f>'TCO Electric'!D66</f>
        <v>3110515.2686188631</v>
      </c>
      <c r="E5" s="59">
        <f>'TCO Electric'!E66</f>
        <v>3159288.7897954509</v>
      </c>
      <c r="F5" s="59">
        <f>'TCO Electric'!F66</f>
        <v>3211631.0305619519</v>
      </c>
      <c r="G5" s="59">
        <f>'TCO Electric'!G66</f>
        <v>3267741.8432852067</v>
      </c>
      <c r="H5" s="59">
        <f>'TCO Electric'!H66</f>
        <v>3327833.7188541428</v>
      </c>
      <c r="I5" s="59">
        <f>'TCO Electric'!I66</f>
        <v>3392132.5683987234</v>
      </c>
      <c r="J5" s="59">
        <f>'TCO Electric'!J66</f>
        <v>3460878.554140789</v>
      </c>
      <c r="K5" s="59">
        <f>'TCO Electric'!K66</f>
        <v>3534326.972462262</v>
      </c>
      <c r="L5" s="59">
        <f>'TCO Electric'!L66</f>
        <v>3612749.1924703452</v>
      </c>
      <c r="M5" s="59">
        <f>'TCO Electric'!M66</f>
        <v>33811976.593141556</v>
      </c>
      <c r="N5" s="47">
        <f>SUM(B5:L5)</f>
        <v>37042220.45628541</v>
      </c>
    </row>
    <row r="6" spans="1:14" ht="14.25" customHeight="1" x14ac:dyDescent="0.3"/>
    <row r="7" spans="1:14" ht="48.75" customHeight="1" x14ac:dyDescent="0.3">
      <c r="A7" s="80" t="s">
        <v>333</v>
      </c>
      <c r="B7" s="70"/>
      <c r="C7" s="70"/>
      <c r="D7" s="70"/>
      <c r="E7" s="70"/>
      <c r="F7" s="70"/>
      <c r="G7" s="70"/>
      <c r="H7" s="70"/>
      <c r="I7" s="70"/>
      <c r="J7" s="70"/>
      <c r="K7" s="70"/>
      <c r="L7" s="70"/>
      <c r="M7" s="70"/>
      <c r="N7" s="70"/>
    </row>
    <row r="8" spans="1:14" ht="14.25" customHeight="1" x14ac:dyDescent="0.3">
      <c r="A8" s="60"/>
      <c r="B8" s="60"/>
      <c r="C8" s="60"/>
      <c r="D8" s="60"/>
      <c r="E8" s="60"/>
      <c r="F8" s="60"/>
      <c r="G8" s="60"/>
      <c r="H8" s="60"/>
      <c r="I8" s="60"/>
      <c r="J8" s="60"/>
      <c r="K8" s="60"/>
      <c r="L8" s="60"/>
      <c r="M8" s="60"/>
      <c r="N8" s="60"/>
    </row>
    <row r="9" spans="1:14" ht="14.25" customHeight="1" x14ac:dyDescent="0.3">
      <c r="A9" s="3" t="s">
        <v>332</v>
      </c>
      <c r="B9" s="3" t="s">
        <v>255</v>
      </c>
      <c r="C9" s="3" t="s">
        <v>256</v>
      </c>
      <c r="D9" s="3" t="s">
        <v>257</v>
      </c>
      <c r="E9" s="3" t="s">
        <v>258</v>
      </c>
      <c r="F9" s="3" t="s">
        <v>259</v>
      </c>
      <c r="G9" s="3" t="s">
        <v>260</v>
      </c>
      <c r="H9" s="3" t="s">
        <v>261</v>
      </c>
      <c r="I9" s="3" t="s">
        <v>262</v>
      </c>
      <c r="J9" s="3" t="s">
        <v>263</v>
      </c>
      <c r="K9" s="3" t="s">
        <v>264</v>
      </c>
      <c r="L9" s="3" t="s">
        <v>265</v>
      </c>
      <c r="M9" s="3" t="s">
        <v>334</v>
      </c>
      <c r="N9" s="3" t="s">
        <v>115</v>
      </c>
    </row>
    <row r="10" spans="1:14" ht="14.25" customHeight="1" x14ac:dyDescent="0.3">
      <c r="A10" s="2" t="s">
        <v>526</v>
      </c>
      <c r="B10" s="59">
        <f>B4</f>
        <v>1500000</v>
      </c>
      <c r="C10" s="59">
        <f>B4+C4</f>
        <v>4965412.0547132809</v>
      </c>
      <c r="D10" s="59">
        <f t="shared" ref="D10:L10" si="0">C10+D4</f>
        <v>8562318.2323322222</v>
      </c>
      <c r="E10" s="59">
        <f t="shared" si="0"/>
        <v>12298948.789574914</v>
      </c>
      <c r="F10" s="59">
        <f t="shared" si="0"/>
        <v>16184025.917228028</v>
      </c>
      <c r="G10" s="59">
        <f t="shared" si="0"/>
        <v>20226793.648700628</v>
      </c>
      <c r="H10" s="59">
        <f t="shared" si="0"/>
        <v>24437049.580182217</v>
      </c>
      <c r="I10" s="59">
        <f t="shared" si="0"/>
        <v>28825178.512481626</v>
      </c>
      <c r="J10" s="59">
        <f t="shared" si="0"/>
        <v>33402188.13131769</v>
      </c>
      <c r="K10" s="59">
        <f t="shared" si="0"/>
        <v>38179746.849934623</v>
      </c>
      <c r="L10" s="59">
        <f t="shared" si="0"/>
        <v>43170223.945449829</v>
      </c>
      <c r="M10" s="59">
        <f>'TCO ICE'!M31</f>
        <v>-1500000</v>
      </c>
      <c r="N10" s="59">
        <f>L10+M10</f>
        <v>41670223.945449829</v>
      </c>
    </row>
    <row r="11" spans="1:14" ht="14.25" customHeight="1" x14ac:dyDescent="0.3">
      <c r="A11" s="2" t="s">
        <v>527</v>
      </c>
      <c r="B11" s="59">
        <f>B5</f>
        <v>3900000</v>
      </c>
      <c r="C11" s="59">
        <f>B5+C5</f>
        <v>6965122.5176976789</v>
      </c>
      <c r="D11" s="59">
        <f t="shared" ref="D11:L11" si="1">C11+D5</f>
        <v>10075637.786316542</v>
      </c>
      <c r="E11" s="59">
        <f t="shared" si="1"/>
        <v>13234926.576111993</v>
      </c>
      <c r="F11" s="59">
        <f t="shared" si="1"/>
        <v>16446557.606673945</v>
      </c>
      <c r="G11" s="59">
        <f t="shared" si="1"/>
        <v>19714299.449959151</v>
      </c>
      <c r="H11" s="59">
        <f t="shared" si="1"/>
        <v>23042133.168813296</v>
      </c>
      <c r="I11" s="59">
        <f t="shared" si="1"/>
        <v>26434265.737212017</v>
      </c>
      <c r="J11" s="59">
        <f t="shared" si="1"/>
        <v>29895144.291352805</v>
      </c>
      <c r="K11" s="59">
        <f t="shared" si="1"/>
        <v>33429471.263815068</v>
      </c>
      <c r="L11" s="59">
        <f t="shared" si="1"/>
        <v>37042220.45628541</v>
      </c>
      <c r="M11" s="59">
        <f>'TCO Electric'!M33</f>
        <v>-3250000</v>
      </c>
      <c r="N11" s="59">
        <f>L11+M11</f>
        <v>33792220.45628541</v>
      </c>
    </row>
    <row r="12" spans="1:14" ht="14.25" customHeight="1" x14ac:dyDescent="0.3"/>
    <row r="13" spans="1:14" ht="14.25" customHeight="1" x14ac:dyDescent="0.3"/>
    <row r="14" spans="1:14" ht="14.25" customHeight="1" x14ac:dyDescent="0.3"/>
    <row r="15" spans="1:14" ht="14.25" customHeight="1" x14ac:dyDescent="0.3"/>
    <row r="16" spans="1:14"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sheetData>
  <mergeCells count="1">
    <mergeCell ref="A7:N7"/>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election activeCell="I8" sqref="I8"/>
    </sheetView>
  </sheetViews>
  <sheetFormatPr defaultColWidth="12.5546875" defaultRowHeight="15" customHeight="1" x14ac:dyDescent="0.3"/>
  <cols>
    <col min="1" max="1" width="34" customWidth="1"/>
    <col min="2" max="2" width="18" customWidth="1"/>
    <col min="3" max="3" width="38" customWidth="1"/>
    <col min="4" max="4" width="40" customWidth="1"/>
    <col min="5" max="26" width="8.5546875" customWidth="1"/>
  </cols>
  <sheetData>
    <row r="1" spans="1:26" ht="17.25" customHeight="1" x14ac:dyDescent="0.3">
      <c r="A1" s="81" t="s">
        <v>0</v>
      </c>
      <c r="B1" s="77"/>
      <c r="C1" s="78"/>
      <c r="D1" s="3"/>
    </row>
    <row r="2" spans="1:26" ht="14.25" customHeight="1" x14ac:dyDescent="0.3">
      <c r="A2" s="2"/>
      <c r="B2" s="2"/>
      <c r="C2" s="2"/>
      <c r="D2" s="2"/>
    </row>
    <row r="3" spans="1:26" ht="14.25" customHeight="1" x14ac:dyDescent="0.3">
      <c r="A3" s="82" t="s">
        <v>1</v>
      </c>
      <c r="B3" s="77"/>
      <c r="C3" s="78"/>
      <c r="D3" s="2"/>
    </row>
    <row r="4" spans="1:26" ht="14.25" customHeight="1" x14ac:dyDescent="0.3">
      <c r="A4" s="2" t="s">
        <v>2</v>
      </c>
      <c r="B4" s="11">
        <v>60</v>
      </c>
      <c r="C4" s="2" t="s">
        <v>3</v>
      </c>
      <c r="D4" s="2" t="s">
        <v>4</v>
      </c>
    </row>
    <row r="5" spans="1:26" ht="14.25" customHeight="1" x14ac:dyDescent="0.3">
      <c r="A5" s="2" t="s">
        <v>5</v>
      </c>
      <c r="B5" s="11">
        <v>3000</v>
      </c>
      <c r="C5" s="2" t="s">
        <v>6</v>
      </c>
      <c r="D5" s="2" t="s">
        <v>7</v>
      </c>
    </row>
    <row r="6" spans="1:26" ht="14.25" customHeight="1" x14ac:dyDescent="0.3">
      <c r="A6" s="2" t="s">
        <v>8</v>
      </c>
      <c r="B6" s="11">
        <v>0.12</v>
      </c>
      <c r="C6" s="2" t="s">
        <v>9</v>
      </c>
      <c r="D6" s="2" t="s">
        <v>10</v>
      </c>
    </row>
    <row r="7" spans="1:26" ht="14.25" customHeight="1" x14ac:dyDescent="0.3">
      <c r="A7" s="2" t="s">
        <v>11</v>
      </c>
      <c r="B7" s="11">
        <v>1</v>
      </c>
      <c r="C7" s="2" t="s">
        <v>12</v>
      </c>
      <c r="D7" s="2" t="s">
        <v>13</v>
      </c>
    </row>
    <row r="8" spans="1:26" ht="14.25" customHeight="1" x14ac:dyDescent="0.3">
      <c r="A8" s="2"/>
      <c r="B8" s="2"/>
      <c r="C8" s="2"/>
      <c r="D8" s="2"/>
    </row>
    <row r="9" spans="1:26" ht="14.25" customHeight="1" x14ac:dyDescent="0.3">
      <c r="A9" s="82" t="s">
        <v>14</v>
      </c>
      <c r="B9" s="77"/>
      <c r="C9" s="78"/>
      <c r="D9" s="2"/>
    </row>
    <row r="10" spans="1:26" ht="14.25" customHeight="1" x14ac:dyDescent="0.3">
      <c r="A10" s="2" t="s">
        <v>15</v>
      </c>
      <c r="B10" s="11">
        <v>1000</v>
      </c>
      <c r="C10" s="2" t="s">
        <v>16</v>
      </c>
      <c r="D10" s="2" t="s">
        <v>17</v>
      </c>
    </row>
    <row r="11" spans="1:26" ht="14.25" customHeight="1" x14ac:dyDescent="0.3">
      <c r="A11" s="2" t="s">
        <v>18</v>
      </c>
      <c r="B11" s="13">
        <v>0.06</v>
      </c>
      <c r="C11" s="2" t="s">
        <v>19</v>
      </c>
      <c r="D11" s="2" t="s">
        <v>20</v>
      </c>
      <c r="E11" s="42"/>
      <c r="F11" s="42"/>
      <c r="G11" s="42"/>
      <c r="H11" s="42"/>
      <c r="I11" s="42"/>
      <c r="J11" s="42"/>
      <c r="K11" s="42"/>
      <c r="L11" s="42"/>
      <c r="M11" s="42"/>
      <c r="N11" s="42"/>
      <c r="O11" s="42"/>
      <c r="P11" s="42"/>
      <c r="Q11" s="42"/>
      <c r="R11" s="42"/>
      <c r="S11" s="42"/>
      <c r="T11" s="42"/>
      <c r="U11" s="42"/>
      <c r="V11" s="42"/>
      <c r="W11" s="42"/>
      <c r="X11" s="42"/>
      <c r="Y11" s="42"/>
      <c r="Z11" s="42"/>
    </row>
    <row r="12" spans="1:26" ht="14.25" customHeight="1" x14ac:dyDescent="0.3">
      <c r="A12" s="2" t="s">
        <v>21</v>
      </c>
      <c r="B12" s="11" t="b">
        <v>1</v>
      </c>
      <c r="C12" s="2" t="s">
        <v>22</v>
      </c>
      <c r="D12" s="2" t="s">
        <v>23</v>
      </c>
    </row>
    <row r="13" spans="1:26" ht="14.25" customHeight="1" x14ac:dyDescent="0.3">
      <c r="A13" s="2" t="s">
        <v>24</v>
      </c>
      <c r="B13" s="11">
        <v>0</v>
      </c>
      <c r="C13" s="2" t="s">
        <v>25</v>
      </c>
      <c r="D13" s="2" t="s">
        <v>26</v>
      </c>
    </row>
    <row r="14" spans="1:26" ht="14.25" customHeight="1" x14ac:dyDescent="0.3">
      <c r="A14" s="2" t="s">
        <v>27</v>
      </c>
      <c r="B14" s="13">
        <v>0.05</v>
      </c>
      <c r="C14" s="2" t="s">
        <v>28</v>
      </c>
      <c r="D14" s="2" t="s">
        <v>20</v>
      </c>
      <c r="E14" s="42"/>
      <c r="F14" s="42"/>
      <c r="G14" s="42"/>
      <c r="H14" s="42"/>
      <c r="I14" s="42"/>
      <c r="J14" s="42"/>
      <c r="K14" s="42"/>
      <c r="L14" s="42"/>
      <c r="M14" s="42"/>
      <c r="N14" s="42"/>
      <c r="O14" s="42"/>
      <c r="P14" s="42"/>
      <c r="Q14" s="42"/>
      <c r="R14" s="42"/>
      <c r="S14" s="42"/>
      <c r="T14" s="42"/>
      <c r="U14" s="42"/>
      <c r="V14" s="42"/>
      <c r="W14" s="42"/>
      <c r="X14" s="42"/>
      <c r="Y14" s="42"/>
      <c r="Z14" s="42"/>
    </row>
    <row r="15" spans="1:26" ht="14.25" customHeight="1" x14ac:dyDescent="0.3">
      <c r="A15" s="2" t="s">
        <v>29</v>
      </c>
      <c r="B15" s="11">
        <v>0</v>
      </c>
      <c r="C15" s="2" t="s">
        <v>30</v>
      </c>
      <c r="D15" s="2" t="s">
        <v>31</v>
      </c>
    </row>
    <row r="16" spans="1:26" ht="14.25" customHeight="1" x14ac:dyDescent="0.3">
      <c r="A16" s="2" t="s">
        <v>32</v>
      </c>
      <c r="B16" s="13">
        <v>0.05</v>
      </c>
      <c r="C16" s="2"/>
      <c r="D16" s="2"/>
      <c r="E16" s="42"/>
      <c r="F16" s="42"/>
      <c r="G16" s="42"/>
      <c r="H16" s="42"/>
      <c r="I16" s="42"/>
      <c r="J16" s="42"/>
      <c r="K16" s="42"/>
      <c r="L16" s="42"/>
      <c r="M16" s="42"/>
      <c r="N16" s="42"/>
      <c r="O16" s="42"/>
      <c r="P16" s="42"/>
      <c r="Q16" s="42"/>
      <c r="R16" s="42"/>
      <c r="S16" s="42"/>
      <c r="T16" s="42"/>
      <c r="U16" s="42"/>
      <c r="V16" s="42"/>
      <c r="W16" s="42"/>
      <c r="X16" s="42"/>
      <c r="Y16" s="42"/>
      <c r="Z16" s="42"/>
    </row>
    <row r="17" spans="1:26" ht="14.25" customHeight="1" x14ac:dyDescent="0.3">
      <c r="A17" s="2" t="s">
        <v>33</v>
      </c>
      <c r="B17" s="11">
        <v>0</v>
      </c>
      <c r="C17" s="2" t="s">
        <v>34</v>
      </c>
      <c r="D17" s="2" t="s">
        <v>35</v>
      </c>
    </row>
    <row r="18" spans="1:26" ht="14.25" customHeight="1" x14ac:dyDescent="0.3">
      <c r="A18" s="2" t="s">
        <v>36</v>
      </c>
      <c r="B18" s="13">
        <v>0.05</v>
      </c>
      <c r="C18" s="2"/>
      <c r="D18" s="2"/>
      <c r="E18" s="42"/>
      <c r="F18" s="42"/>
      <c r="G18" s="42"/>
      <c r="H18" s="42"/>
      <c r="I18" s="42"/>
      <c r="J18" s="42"/>
      <c r="K18" s="42"/>
      <c r="L18" s="42"/>
      <c r="M18" s="42"/>
      <c r="N18" s="42"/>
      <c r="O18" s="42"/>
      <c r="P18" s="42"/>
      <c r="Q18" s="42"/>
      <c r="R18" s="42"/>
      <c r="S18" s="42"/>
      <c r="T18" s="42"/>
      <c r="U18" s="42"/>
      <c r="V18" s="42"/>
      <c r="W18" s="42"/>
      <c r="X18" s="42"/>
      <c r="Y18" s="42"/>
      <c r="Z18" s="42"/>
    </row>
    <row r="19" spans="1:26" ht="14.25" customHeight="1" x14ac:dyDescent="0.3">
      <c r="A19" s="2" t="s">
        <v>37</v>
      </c>
      <c r="B19" s="11">
        <v>5</v>
      </c>
      <c r="C19" s="2" t="s">
        <v>38</v>
      </c>
      <c r="D19" s="2" t="s">
        <v>39</v>
      </c>
    </row>
    <row r="20" spans="1:26" ht="14.25" customHeight="1" x14ac:dyDescent="0.3">
      <c r="A20" s="2" t="s">
        <v>40</v>
      </c>
      <c r="B20" s="11">
        <v>2.8</v>
      </c>
      <c r="C20" s="2" t="s">
        <v>41</v>
      </c>
      <c r="D20" s="2" t="s">
        <v>42</v>
      </c>
    </row>
    <row r="21" spans="1:26" ht="14.25" customHeight="1" x14ac:dyDescent="0.3">
      <c r="A21" s="2" t="s">
        <v>43</v>
      </c>
      <c r="B21" s="13">
        <v>0.05</v>
      </c>
      <c r="C21" s="2"/>
      <c r="D21" s="2"/>
      <c r="E21" s="42"/>
      <c r="F21" s="42"/>
      <c r="G21" s="42"/>
      <c r="H21" s="42"/>
      <c r="I21" s="42"/>
      <c r="J21" s="42"/>
      <c r="K21" s="42"/>
      <c r="L21" s="42"/>
      <c r="M21" s="42"/>
      <c r="N21" s="42"/>
      <c r="O21" s="42"/>
      <c r="P21" s="42"/>
      <c r="Q21" s="42"/>
      <c r="R21" s="42"/>
      <c r="S21" s="42"/>
      <c r="T21" s="42"/>
      <c r="U21" s="42"/>
      <c r="V21" s="42"/>
      <c r="W21" s="42"/>
      <c r="X21" s="42"/>
      <c r="Y21" s="42"/>
      <c r="Z21" s="42"/>
    </row>
    <row r="22" spans="1:26" ht="14.25" customHeight="1" x14ac:dyDescent="0.3">
      <c r="A22" s="2" t="s">
        <v>44</v>
      </c>
      <c r="B22" s="17">
        <f>IF(B19&gt;0, B20/B19, 0)</f>
        <v>0.55999999999999994</v>
      </c>
      <c r="C22" s="2" t="s">
        <v>45</v>
      </c>
      <c r="D22" s="2" t="s">
        <v>46</v>
      </c>
    </row>
    <row r="23" spans="1:26" ht="14.25" customHeight="1" x14ac:dyDescent="0.3">
      <c r="A23" s="2"/>
      <c r="B23" s="2"/>
      <c r="C23" s="2"/>
      <c r="D23" s="2"/>
    </row>
    <row r="24" spans="1:26" ht="14.25" customHeight="1" x14ac:dyDescent="0.3">
      <c r="A24" s="82" t="s">
        <v>47</v>
      </c>
      <c r="B24" s="77"/>
      <c r="C24" s="78"/>
      <c r="D24" s="2"/>
    </row>
    <row r="25" spans="1:26" ht="14.25" customHeight="1" x14ac:dyDescent="0.3">
      <c r="A25" s="2" t="s">
        <v>48</v>
      </c>
      <c r="B25" s="12">
        <v>1000</v>
      </c>
      <c r="C25" s="2" t="s">
        <v>49</v>
      </c>
      <c r="D25" s="2" t="s">
        <v>50</v>
      </c>
    </row>
    <row r="26" spans="1:26" ht="14.25" customHeight="1" x14ac:dyDescent="0.3">
      <c r="A26" s="2" t="s">
        <v>18</v>
      </c>
      <c r="B26" s="13">
        <v>0.05</v>
      </c>
      <c r="C26" s="2"/>
      <c r="D26" s="2"/>
      <c r="E26" s="42"/>
      <c r="F26" s="42"/>
      <c r="G26" s="42"/>
      <c r="H26" s="42"/>
      <c r="I26" s="42"/>
      <c r="J26" s="42"/>
      <c r="K26" s="42"/>
      <c r="L26" s="42"/>
      <c r="M26" s="42"/>
      <c r="N26" s="42"/>
      <c r="O26" s="42"/>
      <c r="P26" s="42"/>
      <c r="Q26" s="42"/>
      <c r="R26" s="42"/>
      <c r="S26" s="42"/>
      <c r="T26" s="42"/>
      <c r="U26" s="42"/>
      <c r="V26" s="42"/>
      <c r="W26" s="42"/>
      <c r="X26" s="42"/>
      <c r="Y26" s="42"/>
      <c r="Z26" s="42"/>
    </row>
    <row r="27" spans="1:26" ht="14.25" customHeight="1" x14ac:dyDescent="0.3">
      <c r="A27" s="2" t="s">
        <v>51</v>
      </c>
      <c r="B27" s="11" t="b">
        <v>0</v>
      </c>
      <c r="C27" s="2" t="s">
        <v>22</v>
      </c>
      <c r="D27" s="2" t="s">
        <v>23</v>
      </c>
    </row>
    <row r="28" spans="1:26" ht="14.25" customHeight="1" x14ac:dyDescent="0.3">
      <c r="A28" s="2" t="s">
        <v>52</v>
      </c>
      <c r="B28" s="11">
        <v>0</v>
      </c>
      <c r="C28" s="2" t="s">
        <v>53</v>
      </c>
      <c r="D28" s="2" t="s">
        <v>54</v>
      </c>
      <c r="G28" s="2"/>
    </row>
    <row r="29" spans="1:26" ht="14.25" customHeight="1" x14ac:dyDescent="0.3">
      <c r="A29" s="2" t="s">
        <v>27</v>
      </c>
      <c r="B29" s="13">
        <v>0.05</v>
      </c>
      <c r="C29" s="2"/>
      <c r="D29" s="2"/>
      <c r="E29" s="42"/>
      <c r="F29" s="42"/>
      <c r="G29" s="42"/>
      <c r="H29" s="42"/>
      <c r="I29" s="42"/>
      <c r="J29" s="42"/>
      <c r="K29" s="42"/>
      <c r="L29" s="42"/>
      <c r="M29" s="42"/>
      <c r="N29" s="42"/>
      <c r="O29" s="42"/>
      <c r="P29" s="42"/>
      <c r="Q29" s="42"/>
      <c r="R29" s="42"/>
      <c r="S29" s="42"/>
      <c r="T29" s="42"/>
      <c r="U29" s="42"/>
      <c r="V29" s="42"/>
      <c r="W29" s="42"/>
      <c r="X29" s="42"/>
      <c r="Y29" s="42"/>
      <c r="Z29" s="42"/>
    </row>
    <row r="30" spans="1:26" ht="14.25" customHeight="1" x14ac:dyDescent="0.3">
      <c r="A30" s="2" t="s">
        <v>55</v>
      </c>
      <c r="B30" s="11">
        <v>0</v>
      </c>
      <c r="C30" s="2" t="s">
        <v>56</v>
      </c>
      <c r="D30" s="2" t="s">
        <v>31</v>
      </c>
    </row>
    <row r="31" spans="1:26" ht="14.25" customHeight="1" x14ac:dyDescent="0.3">
      <c r="A31" s="2" t="s">
        <v>32</v>
      </c>
      <c r="B31" s="13">
        <v>0.05</v>
      </c>
      <c r="C31" s="2"/>
      <c r="D31" s="2"/>
      <c r="E31" s="42"/>
      <c r="F31" s="42"/>
      <c r="G31" s="42"/>
      <c r="H31" s="42"/>
      <c r="I31" s="42"/>
      <c r="J31" s="42"/>
      <c r="K31" s="42"/>
      <c r="L31" s="42"/>
      <c r="M31" s="42"/>
      <c r="N31" s="42"/>
      <c r="O31" s="42"/>
      <c r="P31" s="42"/>
      <c r="Q31" s="42"/>
      <c r="R31" s="42"/>
      <c r="S31" s="42"/>
      <c r="T31" s="42"/>
      <c r="U31" s="42"/>
      <c r="V31" s="42"/>
      <c r="W31" s="42"/>
      <c r="X31" s="42"/>
      <c r="Y31" s="42"/>
      <c r="Z31" s="42"/>
    </row>
    <row r="32" spans="1:26" ht="12" customHeight="1" x14ac:dyDescent="0.3">
      <c r="A32" s="2" t="s">
        <v>57</v>
      </c>
      <c r="B32" s="11">
        <v>0</v>
      </c>
      <c r="C32" s="2" t="s">
        <v>34</v>
      </c>
      <c r="D32" s="2" t="s">
        <v>35</v>
      </c>
    </row>
    <row r="33" spans="1:26" ht="14.25" customHeight="1" x14ac:dyDescent="0.3">
      <c r="A33" s="2" t="s">
        <v>36</v>
      </c>
      <c r="B33" s="13">
        <v>0.05</v>
      </c>
      <c r="C33" s="2"/>
      <c r="D33" s="2"/>
      <c r="E33" s="42"/>
      <c r="F33" s="42"/>
      <c r="G33" s="42"/>
      <c r="H33" s="42"/>
      <c r="I33" s="42"/>
      <c r="J33" s="42"/>
      <c r="K33" s="42"/>
      <c r="L33" s="42"/>
      <c r="M33" s="42"/>
      <c r="N33" s="42"/>
      <c r="O33" s="42"/>
      <c r="P33" s="42"/>
      <c r="Q33" s="42"/>
      <c r="R33" s="42"/>
      <c r="S33" s="42"/>
      <c r="T33" s="42"/>
      <c r="U33" s="42"/>
      <c r="V33" s="42"/>
      <c r="W33" s="42"/>
      <c r="X33" s="42"/>
      <c r="Y33" s="42"/>
      <c r="Z33" s="42"/>
    </row>
    <row r="34" spans="1:26" ht="14.25" customHeight="1" x14ac:dyDescent="0.3">
      <c r="A34" s="2" t="s">
        <v>58</v>
      </c>
      <c r="B34" s="11">
        <v>8</v>
      </c>
      <c r="C34" s="2" t="s">
        <v>59</v>
      </c>
      <c r="D34" s="2" t="s">
        <v>60</v>
      </c>
    </row>
    <row r="35" spans="1:26" ht="14.25" customHeight="1" x14ac:dyDescent="0.3">
      <c r="A35" s="2" t="s">
        <v>61</v>
      </c>
      <c r="B35" s="11">
        <v>26</v>
      </c>
      <c r="C35" s="2" t="s">
        <v>62</v>
      </c>
      <c r="D35" s="2" t="s">
        <v>63</v>
      </c>
    </row>
    <row r="36" spans="1:26" ht="14.25" customHeight="1" x14ac:dyDescent="0.3">
      <c r="A36" s="2" t="s">
        <v>64</v>
      </c>
      <c r="B36" s="13">
        <v>0.05</v>
      </c>
      <c r="C36" s="2"/>
      <c r="D36" s="2"/>
      <c r="E36" s="42"/>
      <c r="F36" s="42"/>
      <c r="G36" s="42"/>
      <c r="H36" s="42"/>
      <c r="I36" s="42"/>
      <c r="J36" s="42"/>
      <c r="K36" s="42"/>
      <c r="L36" s="42"/>
      <c r="M36" s="42"/>
      <c r="N36" s="42"/>
      <c r="O36" s="42"/>
      <c r="P36" s="42"/>
      <c r="Q36" s="42"/>
      <c r="R36" s="42"/>
      <c r="S36" s="42"/>
      <c r="T36" s="42"/>
      <c r="U36" s="42"/>
      <c r="V36" s="42"/>
      <c r="W36" s="42"/>
      <c r="X36" s="42"/>
      <c r="Y36" s="42"/>
      <c r="Z36" s="42"/>
    </row>
    <row r="37" spans="1:26" ht="14.25" customHeight="1" x14ac:dyDescent="0.3">
      <c r="A37" s="2" t="s">
        <v>65</v>
      </c>
      <c r="B37" s="17">
        <f>B35*B34/100</f>
        <v>2.08</v>
      </c>
      <c r="C37" s="2" t="s">
        <v>66</v>
      </c>
      <c r="D37" s="2" t="s">
        <v>46</v>
      </c>
    </row>
    <row r="38" spans="1:26" ht="14.25" customHeight="1" x14ac:dyDescent="0.3"/>
    <row r="39" spans="1:26" ht="14.25" customHeight="1" x14ac:dyDescent="0.3"/>
    <row r="40" spans="1:26" ht="14.25" customHeight="1" x14ac:dyDescent="0.3"/>
    <row r="41" spans="1:26" ht="14.25" customHeight="1" x14ac:dyDescent="0.3"/>
    <row r="42" spans="1:26" ht="14.25" customHeight="1" x14ac:dyDescent="0.3"/>
    <row r="43" spans="1:26" ht="14.25" customHeight="1" x14ac:dyDescent="0.3"/>
    <row r="44" spans="1:26" ht="14.25" customHeight="1" x14ac:dyDescent="0.3"/>
    <row r="45" spans="1:26" ht="14.25" customHeight="1" x14ac:dyDescent="0.3"/>
    <row r="46" spans="1:26" ht="14.25" customHeight="1" x14ac:dyDescent="0.3"/>
    <row r="47" spans="1:26" ht="14.25" customHeight="1" x14ac:dyDescent="0.3"/>
    <row r="48" spans="1:26"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
    <mergeCell ref="A1:C1"/>
    <mergeCell ref="A9:C9"/>
    <mergeCell ref="A24:C24"/>
    <mergeCell ref="A3:C3"/>
  </mergeCells>
  <pageMargins left="0.75" right="0.75" top="1" bottom="1"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000"/>
  <sheetViews>
    <sheetView workbookViewId="0">
      <selection sqref="A1:E1"/>
    </sheetView>
  </sheetViews>
  <sheetFormatPr defaultColWidth="12.5546875" defaultRowHeight="15" customHeight="1" x14ac:dyDescent="0.3"/>
  <cols>
    <col min="1" max="1" width="30.88671875" customWidth="1"/>
    <col min="2" max="3" width="12" customWidth="1"/>
    <col min="4" max="4" width="45.44140625" customWidth="1"/>
    <col min="5" max="5" width="63.33203125" customWidth="1"/>
    <col min="6" max="6" width="53.6640625" customWidth="1"/>
    <col min="7" max="7" width="15.44140625" hidden="1" customWidth="1"/>
    <col min="8" max="26" width="8.5546875" customWidth="1"/>
  </cols>
  <sheetData>
    <row r="1" spans="1:7" ht="17.25" customHeight="1" x14ac:dyDescent="0.3">
      <c r="A1" s="83" t="s">
        <v>335</v>
      </c>
      <c r="B1" s="70"/>
      <c r="C1" s="70"/>
      <c r="D1" s="70"/>
      <c r="E1" s="70"/>
      <c r="F1" s="26"/>
    </row>
    <row r="2" spans="1:7" ht="14.25" customHeight="1" x14ac:dyDescent="0.3">
      <c r="A2" s="26"/>
      <c r="B2" s="26"/>
      <c r="C2" s="26"/>
      <c r="D2" s="26"/>
      <c r="E2" s="26"/>
      <c r="F2" s="26"/>
    </row>
    <row r="3" spans="1:7" ht="14.25" customHeight="1" x14ac:dyDescent="0.3">
      <c r="A3" s="26" t="s">
        <v>336</v>
      </c>
      <c r="B3" s="26" t="s">
        <v>337</v>
      </c>
      <c r="C3" s="26" t="s">
        <v>338</v>
      </c>
      <c r="D3" s="26" t="s">
        <v>339</v>
      </c>
      <c r="E3" s="26" t="s">
        <v>340</v>
      </c>
      <c r="F3" s="26" t="s">
        <v>341</v>
      </c>
    </row>
    <row r="4" spans="1:7" ht="14.25" customHeight="1" x14ac:dyDescent="0.3">
      <c r="G4" s="61">
        <f>POWER(1+Lease_Inputs!B11,1/12)-1</f>
        <v>4.8675505653430484E-3</v>
      </c>
    </row>
    <row r="5" spans="1:7" ht="14.25" customHeight="1" x14ac:dyDescent="0.3">
      <c r="A5" s="57" t="s">
        <v>342</v>
      </c>
      <c r="B5" s="62">
        <f>Lease_Inputs!$B$5*Lease_Inputs!$B$22</f>
        <v>1679.9999999999998</v>
      </c>
      <c r="C5" s="62">
        <f>Lease_Inputs!$B$5*Lease_Inputs!$B$37</f>
        <v>6240</v>
      </c>
      <c r="D5" s="57" t="s">
        <v>343</v>
      </c>
      <c r="E5" s="57" t="s">
        <v>344</v>
      </c>
      <c r="F5" s="57" t="s">
        <v>345</v>
      </c>
      <c r="G5" s="61">
        <f>POWER(1+Lease_Inputs!B21,1/12)-1</f>
        <v>4.0741237836483535E-3</v>
      </c>
    </row>
    <row r="6" spans="1:7" ht="14.25" customHeight="1" x14ac:dyDescent="0.3">
      <c r="A6" s="57" t="s">
        <v>346</v>
      </c>
      <c r="B6" s="62">
        <f>IF(Lease_Inputs!$B$12,0,Lease_Inputs!$B$5*Lease_Inputs!$B$13)</f>
        <v>0</v>
      </c>
      <c r="C6" s="62">
        <f>IF(Lease_Inputs!$B$27,0,Lease_Inputs!$B$5*Lease_Inputs!$B$28)</f>
        <v>0</v>
      </c>
      <c r="D6" s="57" t="s">
        <v>343</v>
      </c>
      <c r="E6" s="57" t="s">
        <v>347</v>
      </c>
      <c r="F6" s="57" t="s">
        <v>348</v>
      </c>
      <c r="G6" s="61">
        <f>POWER(1+Lease_Inputs!B14,1/12)-1</f>
        <v>4.0741237836483535E-3</v>
      </c>
    </row>
    <row r="7" spans="1:7" ht="14.25" customHeight="1" x14ac:dyDescent="0.3">
      <c r="A7" s="57" t="s">
        <v>349</v>
      </c>
      <c r="B7" s="62">
        <f>Lease_Inputs!$B$10+B5+B6+Lease_Inputs!$B$15+Lease_Inputs!$B$17</f>
        <v>2680</v>
      </c>
      <c r="C7" s="62">
        <f>Lease_Inputs!$B$25+C5+C6+Lease_Inputs!$B$30+Lease_Inputs!$B$32</f>
        <v>7240</v>
      </c>
      <c r="D7" s="57" t="s">
        <v>343</v>
      </c>
      <c r="E7" s="57" t="s">
        <v>350</v>
      </c>
      <c r="F7" s="57" t="s">
        <v>351</v>
      </c>
      <c r="G7" s="61">
        <f>POWER(1+Lease_Inputs!B16,1/12)-1</f>
        <v>4.0741237836483535E-3</v>
      </c>
    </row>
    <row r="8" spans="1:7" ht="14.25" customHeight="1" x14ac:dyDescent="0.3">
      <c r="A8" s="57" t="s">
        <v>352</v>
      </c>
      <c r="B8" s="62">
        <f>IF(Lease_Inputs!$B$5&gt;0, B7/Lease_Inputs!$B$5, "")</f>
        <v>0.89333333333333331</v>
      </c>
      <c r="C8" s="62">
        <f>IF(Lease_Inputs!$B$5&gt;0, C7/Lease_Inputs!$B$5, "")</f>
        <v>2.4133333333333336</v>
      </c>
      <c r="D8" s="57" t="s">
        <v>353</v>
      </c>
      <c r="E8" s="57" t="s">
        <v>354</v>
      </c>
      <c r="F8" s="57" t="s">
        <v>355</v>
      </c>
      <c r="G8" s="61">
        <f>POWER(1+Lease_Inputs!B18,1/12)-1</f>
        <v>4.0741237836483535E-3</v>
      </c>
    </row>
    <row r="9" spans="1:7" ht="14.25" customHeight="1" x14ac:dyDescent="0.3">
      <c r="A9" s="57" t="s">
        <v>356</v>
      </c>
      <c r="B9" s="62">
        <f>(1+Lease_Inputs!$B$6)^(1/12)-1</f>
        <v>9.4887929345830457E-3</v>
      </c>
      <c r="C9" s="62">
        <f>(1+Lease_Inputs!$B$6)^(1/12)-1</f>
        <v>9.4887929345830457E-3</v>
      </c>
      <c r="D9" s="57" t="s">
        <v>357</v>
      </c>
      <c r="E9" s="57" t="s">
        <v>358</v>
      </c>
      <c r="F9" s="57" t="s">
        <v>359</v>
      </c>
      <c r="G9" s="61">
        <f>POWER(1+Lease_Inputs!B26,1/12)-1</f>
        <v>4.0741237836483535E-3</v>
      </c>
    </row>
    <row r="10" spans="1:7" ht="14.25" customHeight="1" x14ac:dyDescent="0.3">
      <c r="A10" s="57" t="s">
        <v>360</v>
      </c>
      <c r="B10" s="62">
        <f>IF(B9=0,Lease_Inputs!$B$4, (1-(1+B9)^(-Lease_Inputs!$B$4))/B9)</f>
        <v>45.58779470303746</v>
      </c>
      <c r="C10" s="62">
        <f>IF(C9=0,Lease_Inputs!$B$4, (1-(1+C9)^(-Lease_Inputs!$B$4))/C9)</f>
        <v>45.58779470303746</v>
      </c>
      <c r="D10" s="57" t="s">
        <v>361</v>
      </c>
      <c r="E10" s="57" t="s">
        <v>362</v>
      </c>
      <c r="F10" s="57" t="s">
        <v>363</v>
      </c>
      <c r="G10" s="61">
        <f>POWER(1+Lease_Inputs!B36,1/12)-1</f>
        <v>4.0741237836483535E-3</v>
      </c>
    </row>
    <row r="11" spans="1:7" ht="14.25" customHeight="1" x14ac:dyDescent="0.3">
      <c r="A11" s="57" t="s">
        <v>364</v>
      </c>
      <c r="B11" s="62">
        <f>(Lease_Inputs!B10*(1-POWER((1+Lease_Outputs!G4)/(1+Lease_Outputs!B9),Lease_Inputs!B4))/(Lease_Outputs!B9-Lease_Outputs!G4)+Lease_Outputs!B5*(1-POWER((1+Lease_Outputs!G5)/(1+Lease_Outputs!B9),Lease_Inputs!B4))/(Lease_Outputs!B9-Lease_Outputs!G5)+Lease_Outputs!B6*(1-POWER((1+Lease_Outputs!G6)/(1+Lease_Outputs!B9),Lease_Inputs!B4))/(Lease_Outputs!B9-Lease_Outputs!G6)+Lease_Inputs!B15*(1-POWER((1+Lease_Outputs!G7)/(1+Lease_Outputs!B9),Lease_Inputs!B4))/(Lease_Outputs!B9-Lease_Outputs!G7)+Lease_Inputs!B17*(1-POWER((1+Lease_Outputs!G8)/(1+Lease_Outputs!B9),Lease_Inputs!B4))/(Lease_Outputs!B9-Lease_Outputs!G8))/(Lease_Inputs!B5*Lease_Outputs!B10)</f>
        <v>1.0064747169462014</v>
      </c>
      <c r="C11" s="62">
        <f>(Lease_Inputs!B25*(1-POWER((1+Lease_Outputs!G9)/(1+Lease_Outputs!B9),Lease_Inputs!B4))/(Lease_Outputs!B9-Lease_Outputs!G9)
+Lease_Outputs!C5*(1-POWER((1+Lease_Outputs!G10)/(1+Lease_Outputs!B9),Lease_Inputs!B4))/(Lease_Outputs!B9-Lease_Outputs!G10)
+Lease_Outputs!C6*(1-POWER((1+Lease_Outputs!G11)/(1+Lease_Outputs!B9),Lease_Inputs!B4))/(Lease_Outputs!B9-Lease_Outputs!G11)
+Lease_Inputs!B30*(1-POWER((1+Lease_Outputs!G12)/(1+Lease_Outputs!B9),Lease_Inputs!B4))/(Lease_Outputs!B9-Lease_Outputs!G12)
+Lease_Inputs!B32*(1-POWER((1+Lease_Outputs!G13)/(1+Lease_Outputs!B9),Lease_Inputs!B4))/(Lease_Outputs!B9-Lease_Outputs!G13))
/(Lease_Inputs!B5*Lease_Outputs!B10)</f>
        <v>2.6964767459205841</v>
      </c>
      <c r="D11" s="57" t="s">
        <v>353</v>
      </c>
      <c r="E11" s="42" t="s">
        <v>365</v>
      </c>
      <c r="F11" s="57" t="s">
        <v>366</v>
      </c>
      <c r="G11" s="61">
        <f>POWER(1+Lease_Inputs!B29,1/12)-1</f>
        <v>4.0741237836483535E-3</v>
      </c>
    </row>
    <row r="12" spans="1:7" ht="14.25" customHeight="1" x14ac:dyDescent="0.3">
      <c r="A12" s="57" t="s">
        <v>367</v>
      </c>
      <c r="B12" s="62">
        <f>B8-C8</f>
        <v>-1.5200000000000002</v>
      </c>
      <c r="C12" s="62"/>
      <c r="D12" s="57" t="s">
        <v>353</v>
      </c>
      <c r="E12" s="57" t="s">
        <v>368</v>
      </c>
      <c r="F12" s="57" t="s">
        <v>369</v>
      </c>
      <c r="G12" s="61">
        <f>POWER(1+Lease_Inputs!B31,1/12)-1</f>
        <v>4.0741237836483535E-3</v>
      </c>
    </row>
    <row r="13" spans="1:7" ht="14.25" customHeight="1" x14ac:dyDescent="0.3">
      <c r="A13" s="57" t="s">
        <v>370</v>
      </c>
      <c r="B13" s="62">
        <f>B11-C11</f>
        <v>-1.6900020289743827</v>
      </c>
      <c r="C13" s="62"/>
      <c r="D13" s="57" t="s">
        <v>353</v>
      </c>
      <c r="E13" s="57" t="s">
        <v>371</v>
      </c>
      <c r="F13" s="57" t="s">
        <v>372</v>
      </c>
      <c r="G13" s="61">
        <f>POWER(1+Lease_Inputs!B33,1/12)-1</f>
        <v>4.0741237836483535E-3</v>
      </c>
    </row>
    <row r="14" spans="1:7" ht="14.25" customHeight="1" x14ac:dyDescent="0.3">
      <c r="B14" s="62"/>
      <c r="C14" s="62"/>
      <c r="G14" s="61"/>
    </row>
    <row r="15" spans="1:7" ht="14.25" customHeight="1" x14ac:dyDescent="0.3">
      <c r="A15" s="57" t="s">
        <v>373</v>
      </c>
      <c r="B15" s="62">
        <f>Lease_Inputs!$B$5*Lease_Inputs!$B$7</f>
        <v>3000</v>
      </c>
      <c r="C15" s="62">
        <f>Lease_Inputs!$B$5*Lease_Inputs!$B$7</f>
        <v>3000</v>
      </c>
      <c r="D15" s="57" t="s">
        <v>374</v>
      </c>
      <c r="E15" s="57" t="s">
        <v>375</v>
      </c>
      <c r="F15" s="57" t="s">
        <v>376</v>
      </c>
      <c r="G15" s="61"/>
    </row>
    <row r="16" spans="1:7" ht="14.25" customHeight="1" x14ac:dyDescent="0.3">
      <c r="A16" s="57" t="s">
        <v>377</v>
      </c>
      <c r="B16" s="62">
        <f>B7*Lease_Inputs!$B$7</f>
        <v>2680</v>
      </c>
      <c r="C16" s="62">
        <f>C7*Lease_Inputs!$B$7</f>
        <v>7240</v>
      </c>
      <c r="D16" s="57" t="s">
        <v>343</v>
      </c>
      <c r="E16" s="57" t="s">
        <v>378</v>
      </c>
      <c r="F16" s="57" t="s">
        <v>379</v>
      </c>
      <c r="G16" s="61"/>
    </row>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
    <mergeCell ref="A1:E1"/>
  </mergeCell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2709ED6611694E87078AC661BB6E32" ma:contentTypeVersion="16" ma:contentTypeDescription="Create a new document." ma:contentTypeScope="" ma:versionID="c958aa5b871f3fa81f7992edad304d37">
  <xsd:schema xmlns:xsd="http://www.w3.org/2001/XMLSchema" xmlns:xs="http://www.w3.org/2001/XMLSchema" xmlns:p="http://schemas.microsoft.com/office/2006/metadata/properties" xmlns:ns2="03dad9f7-eeac-4c02-ba14-375916eb47b1" xmlns:ns3="cdaba44c-56e2-426a-84fb-b2cd630ec321" targetNamespace="http://schemas.microsoft.com/office/2006/metadata/properties" ma:root="true" ma:fieldsID="575f5dcbe395753590e27ac6c8d3ef46" ns2:_="" ns3:_="">
    <xsd:import namespace="03dad9f7-eeac-4c02-ba14-375916eb47b1"/>
    <xsd:import namespace="cdaba44c-56e2-426a-84fb-b2cd630ec3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ad9f7-eeac-4c02-ba14-375916eb47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ba44c-56e2-426a-84fb-b2cd630ec3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62ff32a-af85-4782-8e75-432d823cca3b}" ma:internalName="TaxCatchAll" ma:showField="CatchAllData" ma:web="cdaba44c-56e2-426a-84fb-b2cd630ec3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dad9f7-eeac-4c02-ba14-375916eb47b1">
      <Terms xmlns="http://schemas.microsoft.com/office/infopath/2007/PartnerControls"/>
    </lcf76f155ced4ddcb4097134ff3c332f>
    <TaxCatchAll xmlns="cdaba44c-56e2-426a-84fb-b2cd630ec321" xsi:nil="true"/>
  </documentManagement>
</p:properties>
</file>

<file path=customXml/itemProps1.xml><?xml version="1.0" encoding="utf-8"?>
<ds:datastoreItem xmlns:ds="http://schemas.openxmlformats.org/officeDocument/2006/customXml" ds:itemID="{DF79E932-3122-412C-9828-BF8DBC118EC2}"/>
</file>

<file path=customXml/itemProps2.xml><?xml version="1.0" encoding="utf-8"?>
<ds:datastoreItem xmlns:ds="http://schemas.openxmlformats.org/officeDocument/2006/customXml" ds:itemID="{A2F445F8-FCE0-4276-8138-9A5E5EFA98CE}"/>
</file>

<file path=customXml/itemProps3.xml><?xml version="1.0" encoding="utf-8"?>
<ds:datastoreItem xmlns:ds="http://schemas.openxmlformats.org/officeDocument/2006/customXml" ds:itemID="{10C61BFE-230B-4035-AC28-BF1401E46A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Guide</vt:lpstr>
      <vt:lpstr>Basic Inputs</vt:lpstr>
      <vt:lpstr>Infrastructure Cost</vt:lpstr>
      <vt:lpstr>TCO ICE</vt:lpstr>
      <vt:lpstr>TCO Electric</vt:lpstr>
      <vt:lpstr>Cost Comparison</vt:lpstr>
      <vt:lpstr>Breakeven point</vt:lpstr>
      <vt:lpstr>Lease_Inputs</vt:lpstr>
      <vt:lpstr>Lease_Outputs</vt:lpstr>
      <vt:lpstr>Info &amp; Definitions</vt:lpstr>
      <vt:lpstr>TCO Electric_BASE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 Steyn</dc:creator>
  <cp:lastModifiedBy>Duan Steyn</cp:lastModifiedBy>
  <dcterms:created xsi:type="dcterms:W3CDTF">2024-06-25T07:16:06Z</dcterms:created>
  <dcterms:modified xsi:type="dcterms:W3CDTF">2026-02-26T06:35:42Z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0x0101004C2709ED6611694E87078AC661BB6E32</vt:lpwstr>
  </property>
  <property fmtid="{D5CDD505-2E9C-101B-9397-08002B2CF9AE}" pid="3" name="MediaServiceImageTags">
    <vt:lpwstr/>
  </property>
</Properties>
</file>