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uans\Downloads\"/>
    </mc:Choice>
  </mc:AlternateContent>
  <xr:revisionPtr revIDLastSave="0" documentId="8_{B9EFC7D7-C26E-4D24-9803-3D141048BF73}" xr6:coauthVersionLast="47" xr6:coauthVersionMax="47" xr10:uidLastSave="{00000000-0000-0000-0000-000000000000}"/>
  <bookViews>
    <workbookView xWindow="-108" yWindow="-108" windowWidth="23256" windowHeight="12456" firstSheet="2" activeTab="3" xr2:uid="{00000000-000D-0000-FFFF-FFFF00000000}"/>
  </bookViews>
  <sheets>
    <sheet name="Guidance" sheetId="1" r:id="rId1"/>
    <sheet name="Module A input prioritisation  " sheetId="2" r:id="rId2"/>
    <sheet name="Actions &amp; data library" sheetId="3" r:id="rId3"/>
    <sheet name="Dashboard" sheetId="4" r:id="rId4"/>
    <sheet name="Feasibility Assessment" sheetId="5" r:id="rId5"/>
    <sheet name="Info &amp; Definitions " sheetId="6" r:id="rId6"/>
    <sheet name="Vehicle Spec Guidance" sheetId="7" r:id="rId7"/>
    <sheet name="Lookup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5" l="1"/>
  <c r="C64" i="5"/>
  <c r="C63" i="5"/>
  <c r="C62" i="5"/>
  <c r="C61" i="5"/>
  <c r="C60" i="5"/>
  <c r="C59" i="5"/>
  <c r="C58" i="5"/>
  <c r="C57" i="5"/>
  <c r="C66" i="5" s="1"/>
  <c r="B67" i="5" s="1"/>
  <c r="C2" i="4" s="1"/>
  <c r="E4" i="4" s="1"/>
  <c r="B40" i="5"/>
  <c r="B39" i="5"/>
  <c r="B41" i="5" s="1"/>
  <c r="B34" i="5"/>
  <c r="B26" i="5"/>
  <c r="B18" i="5"/>
  <c r="B20" i="5" s="1"/>
  <c r="B16" i="5"/>
  <c r="B21" i="5" l="1"/>
  <c r="B43" i="5" s="1"/>
  <c r="B51" i="5" s="1"/>
  <c r="B53" i="5" s="1"/>
  <c r="B27" i="5"/>
  <c r="B28" i="5" s="1"/>
  <c r="A2" i="4" s="1"/>
  <c r="B42" i="5"/>
  <c r="B44" i="5" l="1"/>
  <c r="E2" i="4"/>
  <c r="B48" i="5"/>
  <c r="B45" i="5" l="1"/>
  <c r="B46" i="5"/>
  <c r="B47" i="5" s="1"/>
  <c r="B50" i="5" l="1"/>
  <c r="B52" i="5" s="1"/>
  <c r="B54" i="5"/>
  <c r="B2" i="4" s="1"/>
  <c r="B49" i="5"/>
  <c r="E3" i="4" l="1"/>
  <c r="A4" i="4"/>
  <c r="E5" i="4" s="1"/>
</calcChain>
</file>

<file path=xl/sharedStrings.xml><?xml version="1.0" encoding="utf-8"?>
<sst xmlns="http://schemas.openxmlformats.org/spreadsheetml/2006/main" count="753" uniqueCount="560">
  <si>
    <t>Section</t>
  </si>
  <si>
    <t>Item</t>
  </si>
  <si>
    <t>What it means (plain language)</t>
  </si>
  <si>
    <t>In the model (sheet!cell)</t>
  </si>
  <si>
    <t>What you do</t>
  </si>
  <si>
    <t>Where to get this info</t>
  </si>
  <si>
    <t>How the model uses it (logic + figures, no Excel formulas)</t>
  </si>
  <si>
    <t>START HERE – BASICS</t>
  </si>
  <si>
    <t>Daily distance (km)</t>
  </si>
  <si>
    <t>How far one vehicle must drive in a typical day on this duty.</t>
  </si>
  <si>
    <t>Feasibility Assessment!B16</t>
  </si>
  <si>
    <t>Type the expected km per day (or leave blank if auto-derived).</t>
  </si>
  <si>
    <t>Duty schedule, dispatch logs, historical trips.</t>
  </si>
  <si>
    <t>Multiplied by adjusted efficiency to estimate daily energy per vehicle. Feeds range checks and deficits.</t>
  </si>
  <si>
    <t>Efficiency basis</t>
  </si>
  <si>
    <t>Choose whether your efficiency is at the battery (on‑vehicle) or at the wall/plug (WLTP/EPA).</t>
  </si>
  <si>
    <t>Feasibility Assessment!B18</t>
  </si>
  <si>
    <t>Pick one: On‑vehicle (battery‑to‑wheel) or WLTP/EPA (wall‑to‑wheel).</t>
  </si>
  <si>
    <t>OEM datasheet, your tests; WLTP/EPA from public ratings.</t>
  </si>
  <si>
    <t>Switches whether charging losses are included. WLTP/EPA assumes ~85% charging efficiency (adds losses); On‑vehicle excludes charging losses.</t>
  </si>
  <si>
    <t>EFFICIENCY CONCEPTS</t>
  </si>
  <si>
    <t>On‑vehicle (battery‑to‑wheel) efficiency (kWh/km)</t>
  </si>
  <si>
    <t>Energy the battery must deliver per kilometre (excludes charging losses).</t>
  </si>
  <si>
    <t>Feasibility Assessment!B19 (input)</t>
  </si>
  <si>
    <t>Enter kWh/km if you have a battery‑based value.</t>
  </si>
  <si>
    <t>OEM spec or measured battery discharge.</t>
  </si>
  <si>
    <t>Used as the baseline for adjusted efficiency when WLTP/EPA is not selected.</t>
  </si>
  <si>
    <t>WLTP/EPA (wall‑to‑wheel) efficiency (kWh/km)</t>
  </si>
  <si>
    <t>Energy the grid/wall must supply per kilometre (includes charging losses).</t>
  </si>
  <si>
    <t>Feasibility Assessment!B18 (selector)</t>
  </si>
  <si>
    <t>Select WLTP/EPA if your number already includes charging losses.</t>
  </si>
  <si>
    <t>Public WLTP/EPA ratings or measured wall energy.</t>
  </si>
  <si>
    <t>Tells the model to include charging losses using ~85% charging efficiency.</t>
  </si>
  <si>
    <t>Adjusted efficiency (kWh/km)</t>
  </si>
  <si>
    <t>Your efficiency after terrain, passenger load, temperature and basis are applied.</t>
  </si>
  <si>
    <t>Feasibility Assessment!B20</t>
  </si>
  <si>
    <t>No action — calculated.</t>
  </si>
  <si>
    <t>—</t>
  </si>
  <si>
    <t>Starts from B19 then adjusts for: (1) terrain **Flat 1.00 / Mixed 1.10 / Hilly 1.25**, (2) passenger load **Low 1.00 / Medium 1.07 / High 1.15**, (3) temperature deviation from **21.5 °C** at **+0.003 kWh/km per °C** (uses the larger deviation of min/max temps), and (4) if WLTP/EPA is selected, adds charging losses via **~85% charging efficiency** (i.e., treats energy at the wall).</t>
  </si>
  <si>
    <t>BATTERY &amp; RANGE</t>
  </si>
  <si>
    <t>Battery size (kWh)</t>
  </si>
  <si>
    <t>Total battery capacity from the bus spec.</t>
  </si>
  <si>
    <t>Feasibility Assessment!B24</t>
  </si>
  <si>
    <t>Enter the kWh value from the datasheet or BMS.</t>
  </si>
  <si>
    <t>OEM datasheet / vehicle BMS.</t>
  </si>
  <si>
    <t>Feeds usable energy after applying the basis selection below.</t>
  </si>
  <si>
    <t>Pick: “Installed (nameplate)” OR “Usable on‑board (already net of buffers)”</t>
  </si>
  <si>
    <t>Tells the model whether B24 is the gross installed capacity (nameplate) or the already‑usable capacity reported by the vehicle.</t>
  </si>
  <si>
    <t>Feasibility Assessment!B25</t>
  </si>
  <si>
    <t>Choose “Installed (nameplate)” if B24 is gross; choose “Usable on‑board” if B24 is the vehicle’s usable capacity.</t>
  </si>
  <si>
    <t>OEM datasheet (nameplate) or BMS readout (usable).</t>
  </si>
  <si>
    <t>Controls how **Usable energy (B26)** is computed: **Installed → apply ~5% manufacturer buffer** then limit to **~80% daily depth‑of‑use**; **Usable on‑board → apply only ~80% daily depth‑of‑use**.</t>
  </si>
  <si>
    <t>Installed (nameplate) — what it means</t>
  </si>
  <si>
    <t>Gross battery capacity. A small portion is not accessible to protect the battery.</t>
  </si>
  <si>
    <t>Pick this when B24 is the gross pack size.</t>
  </si>
  <si>
    <t>OEM datasheet.</t>
  </si>
  <si>
    <t>Usable energy assumes **~5% is unavailable** (battery buffer), then only **~80%** of the remainder is used per day.</t>
  </si>
  <si>
    <t>Usable on‑board (already net of buffers) — what it means</t>
  </si>
  <si>
    <t>Net usable battery capacity as the vehicle reports it (buffer already removed).</t>
  </si>
  <si>
    <t>Pick this when B24 is the vehicle/BMS usable value.</t>
  </si>
  <si>
    <t>BMS readout, OEM usable spec.</t>
  </si>
  <si>
    <t>Usable energy **skips the 5% buffer** and uses **~80% per day** of the usable capacity.</t>
  </si>
  <si>
    <t>Usable energy (kWh)</t>
  </si>
  <si>
    <t>Energy you plan to draw per day from the battery (after buffers).</t>
  </si>
  <si>
    <t>Feasibility Assessment!B26</t>
  </si>
  <si>
    <t>Computed from B24 and the pick above. This value drives **Effective range** and charging needs.</t>
  </si>
  <si>
    <t>Effective range (km)</t>
  </si>
  <si>
    <t>How far one vehicle can go on the usable energy.</t>
  </si>
  <si>
    <t>Feasibility Assessment!B27</t>
  </si>
  <si>
    <t>Calculated by dividing **Usable energy (B26)** by **Adjusted efficiency (B20)**. If B20 goes up (heavier loads, hills, temperature, WLTP/EPA), range goes down.</t>
  </si>
  <si>
    <t>FLEET &amp; CHARGERS</t>
  </si>
  <si>
    <t>Fleet vehicles (#)</t>
  </si>
  <si>
    <t>How many vehicles run this duty each day.</t>
  </si>
  <si>
    <t>Feasibility Assessment!B31</t>
  </si>
  <si>
    <t>Enter the number of vehicles.</t>
  </si>
  <si>
    <t>Operations plan / roster.</t>
  </si>
  <si>
    <t>Scales per‑vehicle energy/deficits to fleet totals across the model.</t>
  </si>
  <si>
    <t>Charger power (kW)</t>
  </si>
  <si>
    <t>Rated power per charger.</t>
  </si>
  <si>
    <t>Feasibility Assessment!B32</t>
  </si>
  <si>
    <t>Enter the charger rating.</t>
  </si>
  <si>
    <t>Charger/OEM spec, site design.</t>
  </si>
  <si>
    <t>Caps charging throughput together with headroom and available hours.</t>
  </si>
  <si>
    <t>Overnight hours (h)</t>
  </si>
  <si>
    <t>Hours available to charge at night.</t>
  </si>
  <si>
    <t>Feasibility Assessment!B33</t>
  </si>
  <si>
    <t>Enter available overnight charging hours.</t>
  </si>
  <si>
    <t>Depot schedule, curfews, operations.</t>
  </si>
  <si>
    <t>Used with **Headroom @ night (B39)** and **Charger power (B32)** to determine **Max charging overnight (B41)**.</t>
  </si>
  <si>
    <t>Midday hours (h)</t>
  </si>
  <si>
    <t>Available dwell time during the workday for charging.</t>
  </si>
  <si>
    <t>Feasibility Assessment!B34</t>
  </si>
  <si>
    <t>Enter hours vehicles can be plugged in during the day.</t>
  </si>
  <si>
    <t>Dispatch logs, telematics dwell, route schedule.</t>
  </si>
  <si>
    <t>Used with **Headroom @ midday (B40)** and **Charger power (B32)** to determine **Max charging midday (B42)**.</t>
  </si>
  <si>
    <t>GRID CAPACITY &amp; HEADROOM</t>
  </si>
  <si>
    <t>Total grid capacity @ night (kW)</t>
  </si>
  <si>
    <t>Connection limit or allowed demand at night.</t>
  </si>
  <si>
    <t>Feasibility Assessment!B35</t>
  </si>
  <si>
    <t>Enter the site’s night capacity (kW).</t>
  </si>
  <si>
    <t>Utility contract, breaker rating, SLD.</t>
  </si>
  <si>
    <t>Compared with **Current night peak (B36)** to get **Headroom @ night (B39)**.</t>
  </si>
  <si>
    <t>Current night peak (non‑EV) (kW)</t>
  </si>
  <si>
    <t>Existing site peak at night (without EV charging).</t>
  </si>
  <si>
    <t>Feasibility Assessment!B36</t>
  </si>
  <si>
    <t>Enter the non‑EV night peak.</t>
  </si>
  <si>
    <t>Smart meter/BMS data; utility bill (max demand).</t>
  </si>
  <si>
    <t>Subtracted from **night capacity** to calculate **Headroom @ night (B39)**.</t>
  </si>
  <si>
    <t>Total grid capacity @ midday (kW)</t>
  </si>
  <si>
    <t>Connection limit or allowed demand at midday.</t>
  </si>
  <si>
    <t>Feasibility Assessment!B37</t>
  </si>
  <si>
    <t>Enter the site’s midday capacity (kW).</t>
  </si>
  <si>
    <t>Utility agreement; facility engineer.</t>
  </si>
  <si>
    <t>Compared with **Current midday peak (B38)** to get **Headroom @ midday (B40)**.</t>
  </si>
  <si>
    <t>Current midday peak (non‑EV) (kW)</t>
  </si>
  <si>
    <t>Existing site peak at midday (without EV charging).</t>
  </si>
  <si>
    <t>Feasibility Assessment!B38</t>
  </si>
  <si>
    <t>Enter the non‑EV midday peak.</t>
  </si>
  <si>
    <t>Smart meter/BMS data; utility bills.</t>
  </si>
  <si>
    <t>Subtracted from **midday capacity** to calculate **Headroom @ midday (B40)**.</t>
  </si>
  <si>
    <t>Headroom @ night (kW)</t>
  </si>
  <si>
    <t>Power left for EVs at night after non‑EV load.</t>
  </si>
  <si>
    <t>Feasibility Assessment!B39</t>
  </si>
  <si>
    <t>Computed as **capacity − non‑EV peak**, never below zero; used to cap **Max charging overnight (B41)**.</t>
  </si>
  <si>
    <t>Headroom @ midday (kW)</t>
  </si>
  <si>
    <t>Power left for EVs at midday after non‑EV load.</t>
  </si>
  <si>
    <t>Feasibility Assessment!B40</t>
  </si>
  <si>
    <t>Computed as **capacity − non‑EV peak**, never below zero; used to cap **Max charging midday (B42)**.</t>
  </si>
  <si>
    <t>ENERGY DELIVERABLE (WHAT THE SITE CAN ACTUALLY CHARGE)</t>
  </si>
  <si>
    <t>Max charging achievable overnight (kWh, fleet total)</t>
  </si>
  <si>
    <t>Upper bound of energy deliverable overnight to the fleet.</t>
  </si>
  <si>
    <t>Feasibility Assessment!B41</t>
  </si>
  <si>
    <t>Takes the smaller of: (**Headroom @ night × Overnight hours**) and (**Charger power × Fleet × Overnight hours**), then applies practical factors: **~85% charging efficiency** and **~90% utilisation**.</t>
  </si>
  <si>
    <t>Max charging achievable midday (kWh, fleet total)</t>
  </si>
  <si>
    <t>Upper bound of energy deliverable during midday dwell.</t>
  </si>
  <si>
    <t>Feasibility Assessment!B42</t>
  </si>
  <si>
    <t>Takes the smaller of: (**Headroom @ midday × Midday hours**) and (**Charger power × Fleet × Midday hours**), then applies **~85% charging efficiency** and **~90% utilisation**.</t>
  </si>
  <si>
    <t>NEEDS VS SUPPLY (WHAT YOU REQUIRE TO RUN)</t>
  </si>
  <si>
    <t>Total daily energy needed (kWh)</t>
  </si>
  <si>
    <t>Fleet energy needed to complete the day.</t>
  </si>
  <si>
    <t>Feasibility Assessment!B43</t>
  </si>
  <si>
    <t>Multiplies **per‑vehicle daily energy** by **fleet count** to get the fleet’s daily energy requirement.</t>
  </si>
  <si>
    <t>Per‑vehicle range deficit (km)</t>
  </si>
  <si>
    <t>Km short per vehicle before any midday top‑up.</t>
  </si>
  <si>
    <t>Feasibility Assessment!B44</t>
  </si>
  <si>
    <t>Compares **Daily distance (B16)** to **Range (B27)**; any shortfall is the per‑vehicle deficit to be covered by midday charging.</t>
  </si>
  <si>
    <t>Total range deficit (km)</t>
  </si>
  <si>
    <t>Fleet‑wide km shortfall before midday top‑up.</t>
  </si>
  <si>
    <t>Feasibility Assessment!B45</t>
  </si>
  <si>
    <t>Scales the **per‑vehicle deficit** by the **number of vehicles**.</t>
  </si>
  <si>
    <t>Per‑vehicle top‑up energy needed (kWh)</t>
  </si>
  <si>
    <t>Midday energy per vehicle to cover the deficit.</t>
  </si>
  <si>
    <t>Feasibility Assessment!B46</t>
  </si>
  <si>
    <t>Converts the per‑vehicle deficit (km) into energy using **Adjusted efficiency (B20)**.</t>
  </si>
  <si>
    <t>Total top‑up energy needed (kWh)</t>
  </si>
  <si>
    <t>Fleet midday energy requirement.</t>
  </si>
  <si>
    <t>Feasibility Assessment!B47</t>
  </si>
  <si>
    <t>Scales **Per‑vehicle top‑up energy** by **fleet size** to get the total midday energy requirement.</t>
  </si>
  <si>
    <t>DECISIONS (TRAFFIC‑LIGHT OUTPUTS)</t>
  </si>
  <si>
    <t>A1: Route &amp; Vehicle Feasibility</t>
  </si>
  <si>
    <t>Compares range to daily km and checks if a midday window exists.</t>
  </si>
  <si>
    <t>Feasibility Assessment!B28</t>
  </si>
  <si>
    <t>If **Range ≥ Daily km** → **Conditional Go**. If short but a **midday dwell** exists → **Maybe**. If short and **no midday dwell** → **No‑go**.</t>
  </si>
  <si>
    <t>A2: Grid &amp; Charging Feasibility</t>
  </si>
  <si>
    <t>Checks if overnight/midday energy and charger power fit within grid headroom.</t>
  </si>
  <si>
    <t>Feasibility Assessment!B54</t>
  </si>
  <si>
    <t>Looks at four conditions: (1) **Overnight deliverable ≥ Daily need**; (2) **Midday deliverable ≥ Top‑up need**; (3) **Charger power ≤ Headroom @ night**; (4) **Charger power ≤ Headroom @ midday**. If all pass → **Conditional Go**; if the worst shortfall is small (≈ **10%**) → **Maybe**; otherwise → **No‑go**.</t>
  </si>
  <si>
    <t>A3: Workshop Readiness Checklist</t>
  </si>
  <si>
    <t>Non‑technical go/no‑go checklist (permits, utility engagement, safety, SOPs).</t>
  </si>
  <si>
    <t>Feasibility Assessment!A56 (section)</t>
  </si>
  <si>
    <t>Work through the checklist with stakeholders.</t>
  </si>
  <si>
    <t>Ops leads, utility account manager, permitting office, OEM/installer, HSE officer.</t>
  </si>
  <si>
    <t>Ensures institutional readiness even if A1/A2 are green.</t>
  </si>
  <si>
    <t>Welcome to the Technical Feasibility Tool (Module A)</t>
  </si>
  <si>
    <t>Overview</t>
  </si>
  <si>
    <t>The Technical Feasibility Tool is a user-friendly Excel model designed to help minibus operators, SACCOs, cities, utilities, and financiers test whether electric minibuses can reliably operate on specific routes, and what technical conditions must be in place for a successful transition.
 The tool focuses on three core questions:
 • Can an electric minibus consistently complete the planned duty on each route (distance, gradients, dwell times, and passenger loads)?
 • What charging infrastructure (locations, charger sizes and quantities, timing of overnight and mid-day charging) is required to keep vehicles available?
 • Is the depot/workshop technically ready to maintain EVs safely (PPE, tools, training, procedures and fire safety)?
 By answering these questions, the tool converts qualitative uncertainty about “will it make the day?” into route-specific Conditional Go / Maybe / No Go signals with clear technical mitigations and practical next steps.</t>
  </si>
  <si>
    <t>How to use this tool</t>
  </si>
  <si>
    <t>1. Start with one route or corridor. Enter the basic service plan and operational data in the Feasibility Assessment sheet (daily kilometres, trips, elevation/grade, dwell times, typical load) – only in the blue cells.
 2. Check route feasibility. Review whether the EV can complete the duty without breaching usable range, and note any suggested mitigations (e.g. shortened blocks, staggered duties or mid-day top-ups).
 3. Size charging. Use the charging inputs on the Feasibility Assessment sheet to see how many chargers, at what power, are required at depots and key ranks/terminals, and whether dwell windows are sufficient.
 4. Assess workshop readiness. Complete the Workshop Readiness checklist to understand whether your maintenance environment can safely handle EVs or needs upgrades/training.
 5. Read the Dashboard. Use the dashboard’s Conditional Go / Maybe / No-Conditional Go judgement as an input to broader project decisions (including Modules B, C, E, F and G).
 6. If a concept or output is unclear, open the “Info &amp; Definitions” tab. It explains key terms (e.g. usable battery, headroom, Conditional Go / Maybe / No-Conditional Go), the main calculations, and how to interpret the indicators.</t>
  </si>
  <si>
    <t>Cell colours &amp; navigation</t>
  </si>
  <si>
    <t>To keep the model robust and easy to use:
 • Blue cells: User inputs. Only type or select values in blue cells (including dropdowns).
 • Non-blue cells: These are calculations, labels or summary outputs. Do not overwrite them, even if you see a number that looks “wrong” – instead, change the relevant blue inputs.
 • Sheet navigation: Use the tabs at the bottom (Guidance, Feasibility Assessment, Dashboard, Info &amp; Definitions, Lookups) in the order suggested. You do not need to open the Lookups sheet unless you are maintaining the model.</t>
  </si>
  <si>
    <t>Methodology &amp; evidence base</t>
  </si>
  <si>
    <t>The logic and default values in this tool are grounded in:
 • A regional situational analysis of policy, regulation, grid capacity, charging infrastructure, vehicle availability and financing conditions in the East African minibus context.
 • Stakeholder interviews, workshops and surveys with operators, drivers, utilities, EV suppliers, financiers and municipal officials.
 • Route-level findings from pilots and case studies, especially around real-world range under load, charging reliability and maintenance capacity.
 • Internal expert review and quality assurance of the resulting calculations, thresholds and scoring logic.
 These sources ensure that the tool reflects actual duty cycles and constraints, not just brochure specifications.</t>
  </si>
  <si>
    <t>Important notes &amp; limitations</t>
  </si>
  <si>
    <t>• Screening and planning tool: Results are indicative and intended for feasibility screening and planning. They do not replace detailed OEM engineering studies, grid-connection designs, or formal safety certification.
 • Data quality matters: Where possible, replace default values with measured route data, utility-provided load assessments and workshop audits. Better inputs will produce more defensible decisions.
 • Integrated decision-making: Final Conditional Go / Maybe / No-Conditional Go calls should also consider financial viability, policy conditions, skills and institutional readiness, as covered in the other toolkit modules and the overall risk register.</t>
  </si>
  <si>
    <t>Cell</t>
  </si>
  <si>
    <t>Input</t>
  </si>
  <si>
    <t>Crucial?</t>
  </si>
  <si>
    <t>Why it matters in this model</t>
  </si>
  <si>
    <t>A1 Route profiling</t>
  </si>
  <si>
    <t>B5</t>
  </si>
  <si>
    <t>Route name / ID</t>
  </si>
  <si>
    <t>Not crucial (metadata)</t>
  </si>
  <si>
    <t>Not used in A1/A2/A3 calculations; only for labelling and traceability.</t>
  </si>
  <si>
    <t>B6</t>
  </si>
  <si>
    <t>Route distance (km)</t>
  </si>
  <si>
    <t>Crucial (must confirm)</t>
  </si>
  <si>
    <t>Drives daily distance (B16) when override not used, which drives energy use (B21) and A1 decision (B28).</t>
  </si>
  <si>
    <t>B7</t>
  </si>
  <si>
    <t>Trips per day (one-way count)</t>
  </si>
  <si>
    <t>Multiplies route distance to form daily distance (B16); strongly affects energy and A1 feasibility.</t>
  </si>
  <si>
    <t>B12</t>
  </si>
  <si>
    <t>Daily distance (km) [optional override]</t>
  </si>
  <si>
    <t>Crucial if available (best input)</t>
  </si>
  <si>
    <t>Overrides calculated daily distance; if you have measured km/day this is the most reliable driver of A1 energy and range checks.</t>
  </si>
  <si>
    <t>B8</t>
  </si>
  <si>
    <t>Dwell window (Overnight/Midday/Both)</t>
  </si>
  <si>
    <t>Determines whether midday charging is assumed; also affects A1 decision logic (if short of range, Midday allows 'Maybe' vs 'No-go').</t>
  </si>
  <si>
    <t>B29</t>
  </si>
  <si>
    <t>Midday hours dwell</t>
  </si>
  <si>
    <t>Crucial if Midday/Both</t>
  </si>
  <si>
    <t>Sets midday charging hours (B34), which drives midday energy deliverable (B42) and A2 decision.</t>
  </si>
  <si>
    <t>B9</t>
  </si>
  <si>
    <t>Terrain (Flat/Mixed/Hilly)</t>
  </si>
  <si>
    <t>Not crucial (proxy OK)</t>
  </si>
  <si>
    <t>Adjusts efficiency via multiplier (1.0 / 1.1 / 1.25) inside B20; affects A1 range/energy but can be approximated early.</t>
  </si>
  <si>
    <t>B10</t>
  </si>
  <si>
    <t>Passenger load (Low/Medium/High)</t>
  </si>
  <si>
    <t>Adjusts efficiency modestly (1.0 / 1.07 / 1.15) in B20; affects A1 but less than distance and kWh/km.</t>
  </si>
  <si>
    <t>B13</t>
  </si>
  <si>
    <t>Highest expected operating temperature (°C)</t>
  </si>
  <si>
    <t>Minor efficiency adjustment in B20 (0.003 per °C away from 21.5); second-order compared to distance/kWh/km.</t>
  </si>
  <si>
    <t>B14</t>
  </si>
  <si>
    <t>Lowest expected operating temperature (°C)</t>
  </si>
  <si>
    <t>Same as above; minor efficiency adjustment.</t>
  </si>
  <si>
    <t>B11</t>
  </si>
  <si>
    <t>Overnight idle (h)</t>
  </si>
  <si>
    <t>Not crucial (info-only in current model)</t>
  </si>
  <si>
    <t>Not referenced in A1/A2/A3 formulas (informational only).</t>
  </si>
  <si>
    <t>A1 Energy &amp; vehicle</t>
  </si>
  <si>
    <t>B19</t>
  </si>
  <si>
    <t>Battery efficiency (kWh/km)</t>
  </si>
  <si>
    <t>Crucial (must confirm for confidence)</t>
  </si>
  <si>
    <t>Core driver of energy use (B21) and therefore range and A1/A2 feasibility. Wrong value will flip outcomes.</t>
  </si>
  <si>
    <t>B24</t>
  </si>
  <si>
    <t>Determines usable energy (B26) and effective range (B27); directly impacts A1 decision.</t>
  </si>
  <si>
    <t>B18</t>
  </si>
  <si>
    <t>Vehicle efficiency basis selector</t>
  </si>
  <si>
    <t>Not crucial (currently not editable)</t>
  </si>
  <si>
    <t>Used only to decide whether to apply a WLTP loss adjustment in B20; but B18 currently equals A18 (formula), so basis is effectively fixed.</t>
  </si>
  <si>
    <t>B25</t>
  </si>
  <si>
    <t>Installed vs usable selection</t>
  </si>
  <si>
    <t>Controls usable energy calculation (B26) via SEARCH('Installed',B25); but B25 currently equals A25 (formula), so selection is fixed to Installed.</t>
  </si>
  <si>
    <t>A2 Grid &amp; charging</t>
  </si>
  <si>
    <t>B31</t>
  </si>
  <si>
    <t>Scales total energy required (B43) and charger requirements (B50/B51); affects A2 decision.</t>
  </si>
  <si>
    <t>B32</t>
  </si>
  <si>
    <t>Directly affects energy deliverable and charger count requirements; key constraint in A2.</t>
  </si>
  <si>
    <t>B33</t>
  </si>
  <si>
    <t>Sets charging window; drives overnight energy deliverable (B41) and charger requirements; key to A2 outcome.</t>
  </si>
  <si>
    <t>B35</t>
  </si>
  <si>
    <t>Determines night headroom (B39) and thus whether chargers can run; major driver of A2 decision.</t>
  </si>
  <si>
    <t>B36</t>
  </si>
  <si>
    <t>Current night peak (non-EV) (kW)</t>
  </si>
  <si>
    <t>Used with B35 to compute headroom (B39); wrong peak will misstate available charging power.</t>
  </si>
  <si>
    <t>B37</t>
  </si>
  <si>
    <t>Determines midday headroom (B40) and feasibility of opportunity charging.</t>
  </si>
  <si>
    <t>B38</t>
  </si>
  <si>
    <t>Current midday peak (non-EV) (kW)</t>
  </si>
  <si>
    <t>Used to compute midday headroom; often worst-case due to building loads.</t>
  </si>
  <si>
    <t>A3 Workshop readiness</t>
  </si>
  <si>
    <t>B57</t>
  </si>
  <si>
    <t>HV safety training completed</t>
  </si>
  <si>
    <t>Crucial (must confirm for safe operations)</t>
  </si>
  <si>
    <t>Directly scored into A3 readiness (C66) and decision (B67); missing items drive 'Maybe/No-go' regardless of route/grid feasibility.</t>
  </si>
  <si>
    <t>B58</t>
  </si>
  <si>
    <t>Insulated tools available</t>
  </si>
  <si>
    <t>B59</t>
  </si>
  <si>
    <t>Lock-out/Tag-out (LOTO) in place</t>
  </si>
  <si>
    <t>B60</t>
  </si>
  <si>
    <t>Battery handling &amp; quarantine area</t>
  </si>
  <si>
    <t>B61</t>
  </si>
  <si>
    <t>PPE available (gloves; face shield)</t>
  </si>
  <si>
    <t>B62</t>
  </si>
  <si>
    <t>Fire suppression suited for Li-ion</t>
  </si>
  <si>
    <t>B63</t>
  </si>
  <si>
    <t>Diagnostic software access (OEM/equiv)</t>
  </si>
  <si>
    <t>B64</t>
  </si>
  <si>
    <t>Lifting/hoist capacity for EV mass</t>
  </si>
  <si>
    <t>B65</t>
  </si>
  <si>
    <t>EV-specific maintenance schedule</t>
  </si>
  <si>
    <t>Assessment component</t>
  </si>
  <si>
    <t>Conditional Go condition (in this model)</t>
  </si>
  <si>
    <t>Typical 'Maybe' trigger</t>
  </si>
  <si>
    <t>Typical 'No-go' trigger</t>
  </si>
  <si>
    <t>Levers that improve outcome</t>
  </si>
  <si>
    <t>What to collect next (fastest)</t>
  </si>
  <si>
    <t>A1 Route &amp; Vehicle feasibility (Decision in B28)</t>
  </si>
  <si>
    <t>Effective range B27 ≥ daily distance B16</t>
  </si>
  <si>
    <t>B27 &lt; B16 AND dwell window includes Midday (B8 contains 'Midday')</t>
  </si>
  <si>
    <t>B27 &lt; B16 AND no Midday opportunity (B8 = Overnight only)</t>
  </si>
  <si>
    <t>Reduce km/day (blocks, add vehicles); increase usable energy (bigger battery/variant); reduce kWh/km (vehicle choice, driving, tyres, auxiliaries); secure a real midday charging window (change schedules or add opportunity charger).</t>
  </si>
  <si>
    <t>Measured km/day (AVL/GPS); confirm dwell times at candidate charging point; route classification; measured kWh/km from pilot or OEM data.</t>
  </si>
  <si>
    <t>A2 Grid &amp; Charging feasibility (Decision in B54)</t>
  </si>
  <si>
    <t>Overnight deliverable B41 ≥ total energy need B43; AND (if midday top-up needed, midday deliverable B42 ≥ B47); AND required chargers fit within grid headroom (night and, if applicable, midday).</t>
  </si>
  <si>
    <t>Worst shortfall across energy or headroom checks ≤ 10% (formula treats this as Maybe).</t>
  </si>
  <si>
    <t>Any key shortfall &gt;10% (energy deliverable or headroom), or charging windows too short for required energy.</t>
  </si>
  <si>
    <t>Increase charging hours (B33/B34) via ops plan; increase charger power (B32) or add higher-power chargers; add chargers as indicated by required counts; increase headroom (upgrade connection limits, reduce non-EV peak, load-shift); managed charging to limit simultaneity; add onsite storage/PV for peak shaving; reduce fleet energy need (lower km/day or kWh/km).</t>
  </si>
  <si>
    <t>Utility written capacity/headroom; 15-min meter data (night + midday peaks); confirmation of allowable charger power; depot operating hours and plug-in discipline.</t>
  </si>
  <si>
    <t>A3 Workshop readiness (Decision in B67)</t>
  </si>
  <si>
    <t>Average checklist score C66 ≥ 0.75 (Yes=1, Partial=0.5, No=0)</t>
  </si>
  <si>
    <t>0.40 ≤ C66 &lt; 0.75</t>
  </si>
  <si>
    <t>C66 &lt; 0.40</t>
  </si>
  <si>
    <t>Close specific gaps: HV training; insulated tools; formal LOTO; PPE; Li-ion fire response; quarantine/handling area; OEM diagnostics access; hoist capacity; EV maintenance schedule/SOPs.</t>
  </si>
  <si>
    <t>Workshop audit evidence: certificates, tool inventory, SOP documents, photos; supplier quotes and implementation timeline for missing items.</t>
  </si>
  <si>
    <t>A1: Route and Vehicle Feasibility Decision</t>
  </si>
  <si>
    <t>A2: Grid and Charging Feasibility Decision</t>
  </si>
  <si>
    <t>A 3: Workshop Readiness  Decision</t>
  </si>
  <si>
    <t>Actions and data to improve the assessment</t>
  </si>
  <si>
    <t>Overall Technical Feasiblity</t>
  </si>
  <si>
    <t>Conditional Go</t>
  </si>
  <si>
    <t>Feasible as long as stated conditions are met. No hard blockers. Typical conditions: confirm a midday top-up (A1), add a small number of chargers or hours to cover a minor shortfall (A2), or close minor workshop gaps with a score around the pass mark (A3).</t>
  </si>
  <si>
    <t>Maybe</t>
  </si>
  <si>
    <t>Uncertain / borderline. Some inputs are missing or the plan isn’t confirmed. Examples: range looks short but midday charging hasn’t been secured (A1); small unmet energy/power gap that needs validation or a plan (A2); workshop score in the middle band with several “Partial” items (A3). Do a quick check/pilot, then re-run.</t>
  </si>
  <si>
    <t>No-go</t>
  </si>
  <si>
    <t>Not feasible as-is. Any hard blocker exists. Examples: range cannot meet daily distance and no midday top-up (A1); charging/grid cannot meet daily energy or headroom requirements (A2); workshop readiness below threshold or any critical safety item is No (A3: HV training, LOTO, Li-ion fire suppression, PPE).</t>
  </si>
  <si>
    <t xml:space="preserve">Module A — Technical Feasibility </t>
  </si>
  <si>
    <t>Blue = input cells. Yellow = calculated. Green = decision.</t>
  </si>
  <si>
    <t xml:space="preserve">A1,1 — Route Profiling </t>
  </si>
  <si>
    <t>Name of the route/run (e.g., 'CBD Shuttle A').</t>
  </si>
  <si>
    <t>Distance from start to end for the route</t>
  </si>
  <si>
    <t>How many trips per day.</t>
  </si>
  <si>
    <t>Dwell window</t>
  </si>
  <si>
    <t>Overnight</t>
  </si>
  <si>
    <t>When vehicles can charge: Overnight, Midday, or Both.</t>
  </si>
  <si>
    <t>Terrain</t>
  </si>
  <si>
    <t>Hilly</t>
  </si>
  <si>
    <t>Flat / Mixed / Hilly.</t>
  </si>
  <si>
    <t>Passenger load (peak on the vehicle)</t>
  </si>
  <si>
    <t>Medium</t>
  </si>
  <si>
    <t>Low / Medium / High.</t>
  </si>
  <si>
    <t>Hours standing at night (info).</t>
  </si>
  <si>
    <t>If known, type total km per day. If blank, model calculates.</t>
  </si>
  <si>
    <t>Highest Expected  Operating Temperature (°C)</t>
  </si>
  <si>
    <t>Hottest expected ambient temperature.</t>
  </si>
  <si>
    <t>Lowest Expected  Operating Temperature (°C)</t>
  </si>
  <si>
    <t>Coldest expected ambient temperature.</t>
  </si>
  <si>
    <t>Daily distance (km) — derived if override blank</t>
  </si>
  <si>
    <t>If B12 blank: B6 × B7.</t>
  </si>
  <si>
    <t>On-vehicle (battery-to-wheel) Vehicle Efficiency</t>
  </si>
  <si>
    <t>Choose basis for B19: On‑vehicle (battery‑to‑wheel) or WLTP/EPA (includes charging losses).</t>
  </si>
  <si>
    <t>Base energy use (kWh per km).</t>
  </si>
  <si>
    <t>Final energy use after basis + terrain + load + temperature.</t>
  </si>
  <si>
    <t>Daily energy per vehicle (kWh)</t>
  </si>
  <si>
    <t xml:space="preserve">A1,2 — Vehicle Suitability </t>
  </si>
  <si>
    <t>Battery capacity from bus spec.</t>
  </si>
  <si>
    <t>Installed (nameplate)</t>
  </si>
  <si>
    <t>Pick: Usable on-board (already net of buffers) OR Installed (nameplate).</t>
  </si>
  <si>
    <t>Assumes 95% of nameplate usable and you use 80% of that per day.</t>
  </si>
  <si>
    <t>Distance possible with usable energy: B27 ÷ B20.</t>
  </si>
  <si>
    <t>Midday hours  dwell</t>
  </si>
  <si>
    <t>How much time the vehicles are non operational during the day</t>
  </si>
  <si>
    <t>A2 — Grid and Charging Feasibility</t>
  </si>
  <si>
    <t>Number of vehicles on this duty.</t>
  </si>
  <si>
    <t>Power per charger.</t>
  </si>
  <si>
    <t>Hours to charge at night.</t>
  </si>
  <si>
    <t>Hours to charge at midday.</t>
  </si>
  <si>
    <t>Connection limit at night.</t>
  </si>
  <si>
    <t>Site peak without EVs (night).</t>
  </si>
  <si>
    <t>Connection limit at midday.</t>
  </si>
  <si>
    <t>Site peak without EVs (midday).</t>
  </si>
  <si>
    <t>Power left for EVs = Total capacity − current non‑EV peak (night).</t>
  </si>
  <si>
    <t>Power left for EVs = Total capacity − current non‑EV peak (midday).</t>
  </si>
  <si>
    <t>Energy fleet can receive at night (limited by grid or chargers).</t>
  </si>
  <si>
    <t>Energy fleet can receive at midday (limited by grid or chargers).</t>
  </si>
  <si>
    <t>Fleet energy per day = Fleet vehicles × daily energy per vehicle.</t>
  </si>
  <si>
    <t>Per-vehicle range deficit (km)</t>
  </si>
  <si>
    <t>Km short per vehicle before midday top‑up.</t>
  </si>
  <si>
    <t>Fleet km shortfall = Fleet vehicles × per‑vehicle deficit.</t>
  </si>
  <si>
    <t>Per-vehicle top-up energy needed (this is the midday top-up)</t>
  </si>
  <si>
    <t>Energy per vehicle needed at midday to cover the deficit.</t>
  </si>
  <si>
    <t>Total top-up energy needed (kWh)</t>
  </si>
  <si>
    <t>Fleet midday energy = Fleet vehicles × per‑vehicle top‑up.</t>
  </si>
  <si>
    <t>Overnight can charge vehicles for next morning?</t>
  </si>
  <si>
    <t>Check: Can night deliver the fleet’s full daily energy (near‑empty overnight assumption)?</t>
  </si>
  <si>
    <t>Midday can cover required top-ups?</t>
  </si>
  <si>
    <t>Check: Can midday deliver the fleet's required top‑ups?</t>
  </si>
  <si>
    <t>Midday Chargers Required (Min)</t>
  </si>
  <si>
    <t>Minimum chargers to deliver total midday top‑up energy in available hours.</t>
  </si>
  <si>
    <t>Overnight Chargers Required (Min)</t>
  </si>
  <si>
    <t>Minimum chargers to deliver total daily energy overnight.</t>
  </si>
  <si>
    <t>Grid sufficient at midday?</t>
  </si>
  <si>
    <t>Do required midday chargers fit within midday headroom (kW)?</t>
  </si>
  <si>
    <t>Grid sufficient at night?</t>
  </si>
  <si>
    <t>Do required overnight chargers fit within night headroom (kW)?</t>
  </si>
  <si>
    <t>Go = all checks Yes. Maybe = worst shortfall ≤10%. Else No‑go.</t>
  </si>
  <si>
    <t xml:space="preserve">A3 — Workshop Readiness Checklist </t>
  </si>
  <si>
    <t>Yes</t>
  </si>
  <si>
    <t>No</t>
  </si>
  <si>
    <t>Partial</t>
  </si>
  <si>
    <t>Africa</t>
  </si>
  <si>
    <t>Make &amp; Model</t>
  </si>
  <si>
    <t>Origin &amp; Assembly</t>
  </si>
  <si>
    <t>Seats</t>
  </si>
  <si>
    <t>Battery (type)</t>
  </si>
  <si>
    <t>Capacity (kWh)</t>
  </si>
  <si>
    <t>Range (km) (cycle/real)</t>
  </si>
  <si>
    <t>Efficiency (km/kWh)</t>
  </si>
  <si>
    <t>Charging (AC/DC, connector, time)</t>
  </si>
  <si>
    <t>Motor (power/torque)</t>
  </si>
  <si>
    <t>Drivetrain</t>
  </si>
  <si>
    <t>Top speed</t>
  </si>
  <si>
    <t>GVW / Payload</t>
  </si>
  <si>
    <t>Price (est.)</t>
  </si>
  <si>
    <t>Homologation &amp; Availability</t>
  </si>
  <si>
    <t>Africa deployments / notes</t>
  </si>
  <si>
    <t>GoMetro “eKamva” (SA)</t>
  </si>
  <si>
    <t>Import (Toyota base)</t>
  </si>
  <si>
    <t>LFP (est.)</t>
  </si>
  <si>
    <t>~70 (est.)</t>
  </si>
  <si>
    <t>&gt;200 real-world (also listed as 200)</t>
  </si>
  <si>
    <t>n/a (≈2.8 est.)</t>
  </si>
  <si>
    <t>AC ~6–7 kW ~10h; DC 60 kW ~75 min full</t>
  </si>
  <si>
    <t>~120 kW peak (est.)</t>
  </si>
  <si>
    <t>RWD</t>
  </si>
  <si>
    <t>~100 km/h</t>
  </si>
  <si>
    <t>~3,500 kg GVW (est.); payload n/a</t>
  </si>
  <si>
    <t>~R1.2m incl duty (vs ~R700k without)</t>
  </si>
  <si>
    <t>Undergoing NRCS certification (SA)</t>
  </si>
  <si>
    <t>Pilot trials Stellenbosch–Cape Town taxi routes</t>
  </si>
  <si>
    <t>Joylong E6 / Kingstar EJ6 / “BasiGo Ma3e” (Joylong platform)</t>
  </si>
  <si>
    <t>China (Joylong/Kingstar); also referenced as Kenya assembly</t>
  </si>
  <si>
    <t>16–18 (also “up to 19”)</t>
  </si>
  <si>
    <t>LFP (CATL)</t>
  </si>
  <si>
    <t>400 (NEDC) / 300 realistic; also ~300 city / 280 hwy full load; also “300–400 max”</t>
  </si>
  <si>
    <t>~3.3 real-world; ~3.5 est.</t>
  </si>
  <si>
    <t>AC 6.6 kW (≈13h 0–100%); DC fast ~50 kW CCS (80% ~45 min) and DC ~86 kW (≈1h 0–100%)</t>
  </si>
  <si>
    <t>PMSM 60 kW cont / 120 kW peak; torque listed as 382 Nm (else n/a)</t>
  </si>
  <si>
    <t>~100 km/h (limited)</t>
  </si>
  <si>
    <t>~3,500 kg GVW; ~1,000 kg payload (est.)</t>
  </si>
  <si>
    <t>~$39k ex-China to ~$65k export; also ~$40k FOB China</t>
  </si>
  <si>
    <t>Certified China (CCC) &amp; EU (E-mark) per your entry; “assembled and road-approved in Kenya/SA” per your entry</t>
  </si>
  <si>
    <t>This is the consolidated row for all Joylong/BasiGo Ma3e references</t>
  </si>
  <si>
    <t>Jet Mover EV (Nigeria)</t>
  </si>
  <si>
    <t>Nigeria (local build)</t>
  </si>
  <si>
    <t>13–14</t>
  </si>
  <si>
    <t>n/a</t>
  </si>
  <si>
    <t>240–280</t>
  </si>
  <si>
    <t>DC fast &lt;2h full</t>
  </si>
  <si>
    <t>~120 kW (implied); torque 950 Nm</t>
  </si>
  <si>
    <t>~120 km/h (est.)</t>
  </si>
  <si>
    <t>Nigeria local build per your entry</t>
  </si>
  <si>
    <t>Golden Dragon XML6496 (Ethiopia)</t>
  </si>
  <si>
    <t>China; assembled in Ethiopia</t>
  </si>
  <si>
    <t>~75 (est.)</t>
  </si>
  <si>
    <t>270–350</t>
  </si>
  <si>
    <t>DC fast ~40 min full</t>
  </si>
  <si>
    <t>100+ kW (est.)</t>
  </si>
  <si>
    <t>~80 km/h (urban)</t>
  </si>
  <si>
    <t>Ethiopia assembly per your entry</t>
  </si>
  <si>
    <t>BasiGo 16/19-seater Van (Kenya)</t>
  </si>
  <si>
    <t>China import; CKD planned Kenya</t>
  </si>
  <si>
    <t>16 or 19</t>
  </si>
  <si>
    <t>~80 (est.)</t>
  </si>
  <si>
    <t>DC fast CCS ~1.5h full</t>
  </si>
  <si>
    <t>~100 kW (est.)</t>
  </si>
  <si>
    <t>~100 km/h (est.)</t>
  </si>
  <si>
    <t>Potential overlap with “BasiGo Ma3e/Joylong E6” naming, but specs differ in your entries, so kept separate</t>
  </si>
  <si>
    <t>International</t>
  </si>
  <si>
    <t>Africa availability note (per your entries)</t>
  </si>
  <si>
    <t>Foton Toano EV (a.k.a. e-View/Toano EV)</t>
  </si>
  <si>
    <t>China (Foton Motor)</t>
  </si>
  <si>
    <t>14 (std) / 17 (extended)</t>
  </si>
  <si>
    <t>Variant A: NMC; Variant B: LFP (CATL)</t>
  </si>
  <si>
    <t>A: 79.9; B: ~86.5</t>
  </si>
  <si>
    <t>A: 350 CLTC ~280 real; B: ~340 CLTC/NEDC</t>
  </si>
  <si>
    <t>A: ~3.5 est.; B: ~4.0 “optimistic cycle”</t>
  </si>
  <si>
    <t>A: AC ~11 kW (8–12h); DC up to ~100 kW (~1h full). B: AC 7 kW (~12h); DC CCS ~40–60 kW (~2.5h full)</t>
  </si>
  <si>
    <t>A: PMSM 100 kW, 360 Nm; B: PMSM 130 kW, 360 Nm</t>
  </si>
  <si>
    <t>~4,000–4,500 kg GVW (est.); payload n/a and ~4,050 kg GVW / ~1,200 kg payload (est.)</t>
  </si>
  <si>
    <t>~$35–40k FOB / ~US$40k; also ~¥282,800 ex-factory</t>
  </si>
  <si>
    <t>“TBD”/exports starting; also “EU certified (COC/E-mark)” per your other entry</t>
  </si>
  <si>
    <t>Stated as not yet in Africa</t>
  </si>
  <si>
    <t>SAIC Maxus eDeliver 9 (V90 EV)</t>
  </si>
  <si>
    <t>China (SAIC Maxus; sold as LDV in EU/UK)</t>
  </si>
  <si>
    <t>Up to 16</t>
  </si>
  <si>
    <t>NMC</t>
  </si>
  <si>
    <t>51.5 / 72 / 88.5 options</t>
  </si>
  <si>
    <t>296 WLTP (with 88.5) / ~260 real</t>
  </si>
  <si>
    <t>~3.0 real (est.)</t>
  </si>
  <si>
    <t>AC 11 kW (0–100 ~8h); DC 80 kW (0–80 ~45 min)</t>
  </si>
  <si>
    <t>PMSM 150 kW, 310 Nm</t>
  </si>
  <si>
    <t>FWD (&lt;3.5t) or RWD (4.5t)</t>
  </si>
  <si>
    <t>3,500 or 4,500 kg GVW; up to ~2,390 kg payload</t>
  </si>
  <si>
    <t>~£63–70k UK (exc. VAT) (~US$80k+)</t>
  </si>
  <si>
    <t>EU/UK type-approved</t>
  </si>
  <si>
    <t>Not positioned as Africa-deployed in your entries</t>
  </si>
  <si>
    <t>Mercedes-Benz eSprinter</t>
  </si>
  <si>
    <t>Germany (DE/US production for global)</t>
  </si>
  <si>
    <t>Up to 15 (conversion)</t>
  </si>
  <si>
    <t>LFP</t>
  </si>
  <si>
    <t>113 usable (81 opt.)</t>
  </si>
  <si>
    <t>331 EPA / 400 WLTP (113)</t>
  </si>
  <si>
    <t>~2.9 (EPA)</t>
  </si>
  <si>
    <t>AC 9.6 kW (12–13h); DC 110–115 kW (10–80 ~42 min)</t>
  </si>
  <si>
    <t>PMSM 100 kW or 150 kW; ~400 Nm</t>
  </si>
  <si>
    <t>~120 km/h (limited)</t>
  </si>
  <si>
    <t>3,500 or 4,250 kg GVW; ~900–1,100 kg payload</t>
  </si>
  <si>
    <t>~$75k (113 kWh base est.)</t>
  </si>
  <si>
    <t>EU/US certified</t>
  </si>
  <si>
    <t>No Africa deployment claimed in your entries</t>
  </si>
  <si>
    <t>Ford E-Transit (base) / E-Transit Shuttle conversion</t>
  </si>
  <si>
    <t>USA/Turkey (US &amp; Europe builds)</t>
  </si>
  <si>
    <t>Up to 15 (conversion); also 15+1 cited</t>
  </si>
  <si>
    <t>68 (usable ~65)</t>
  </si>
  <si>
    <t>203 EPA / ~307–315 WLTP; ~200 realistic (minibus)</t>
  </si>
  <si>
    <t>~4.7 WLTP / 2–3 real</t>
  </si>
  <si>
    <t>AC 11.3 kW (or 11 kW Type-2) ~8h; DC CCS up to 115 kW (15–80 ~34 min)</t>
  </si>
  <si>
    <t>PMSM 198 kW, 430 Nm (also 135 kW version noted)</t>
  </si>
  <si>
    <t>~120–130 km/h (limited)</t>
  </si>
  <si>
    <t>4,250 kg GVWR; payload varies (e.g., ~1.0–1.5t cited)</t>
  </si>
  <si>
    <t>~$50–60k base; ~$60k base + conversion</t>
  </si>
  <si>
    <t>“Not yet officially sold in Africa; available via import/conversion” per your entry</t>
  </si>
  <si>
    <t>GreenPower EV Star</t>
  </si>
  <si>
    <t>Canada</t>
  </si>
  <si>
    <t>Up to 19+1</t>
  </si>
  <si>
    <t>~240 (EPA)</t>
  </si>
  <si>
    <t>~2.0 real-world</t>
  </si>
  <si>
    <t>AC Level-2 J1772 19.2 kW (~8h); DC CCS-1 60 kW (0–100 ~2h)</t>
  </si>
  <si>
    <t>PMSM ~150 kW (est.); ~1,000 Nm (est.)</t>
  </si>
  <si>
    <t>~105 km/h</t>
  </si>
  <si>
    <t>6,500 kg GVWR / ~1,960 kg payload</t>
  </si>
  <si>
    <t>~$120k (USA MSRP)</t>
  </si>
  <si>
    <t>US &amp; Canada road-legal; limited UK deployments; “pilot in Ghana” noted</t>
  </si>
  <si>
    <t>“Not mainstream” in Africa per your entry</t>
  </si>
  <si>
    <t>Mellor Orion E (low-floor bus)</t>
  </si>
  <si>
    <t>UK</t>
  </si>
  <si>
    <t>15–16</t>
  </si>
  <si>
    <t>192 (2×96)</t>
  </si>
  <si>
    <t>~160 urban</t>
  </si>
  <si>
    <t>~0.8</t>
  </si>
  <si>
    <t>AC 22 kW (~4–5h); no DC fast</t>
  </si>
  <si>
    <t>PMSM 96 kW; ~300 Nm</t>
  </si>
  <si>
    <t>FWD (Fiat Ducato chassis)</t>
  </si>
  <si>
    <t>90 km/h</t>
  </si>
  <si>
    <t>~6,000 kg GVW (curb 5,000)</t>
  </si>
  <si>
    <t>~£250k</t>
  </si>
  <si>
    <t>EU/UK homologated</t>
  </si>
  <si>
    <t>Not available in Africa per your entry</t>
  </si>
  <si>
    <t>Iveco eDaily Minibus</t>
  </si>
  <si>
    <t>Italy</t>
  </si>
  <si>
    <t>16–22</t>
  </si>
  <si>
    <t>111 (3×37) (also notes 148 option)</t>
  </si>
  <si>
    <t>~200 (111 kWh); up to 270 (148 kWh)</t>
  </si>
  <si>
    <t>~1.8–2.4</t>
  </si>
  <si>
    <t>AC up to 22 kW (optional); DC CCS up to 80 kW (~2h 0–100)</t>
  </si>
  <si>
    <t>PMSM 140 kW, 400 Nm</t>
  </si>
  <si>
    <t>100+ km/h</t>
  </si>
  <si>
    <t>up to 7,200 kg GVW; payload varies (~2,500 kg cited)</t>
  </si>
  <si>
    <t>~€120k (base chassis)</t>
  </si>
  <si>
    <t>EU homologation (M2); production from 2024</t>
  </si>
  <si>
    <t>Not yet in Africa per your entry</t>
  </si>
  <si>
    <t>Dropdown</t>
  </si>
  <si>
    <t>Flat</t>
  </si>
  <si>
    <t>Low</t>
  </si>
  <si>
    <t>Midday</t>
  </si>
  <si>
    <t>Mixed</t>
  </si>
  <si>
    <t>WLTP/EPA (wall-to-wheel) Vehicle Efficiency</t>
  </si>
  <si>
    <t>Usable on-board (already net of buffers)</t>
  </si>
  <si>
    <t>Both Overnight and Midday</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</si>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</sst>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scheme val="minor"/>
    </font>
    <font>
      <sz val="11"/>
      <color rgb="FFFFFFFF"/>
      <name val="Calibri"/>
    </font>
    <font>
      <b/>
      <sz val="16"/>
      <color rgb="FFFFFFFF"/>
      <name val="Calibri"/>
    </font>
    <font>
      <sz val="11"/>
      <color rgb="FF000000"/>
      <name val="Calibri"/>
    </font>
    <font>
      <sz val="11"/>
      <color theme="1"/>
      <name val="Calibri"/>
    </font>
    <font>
      <sz val="11"/>
      <color theme="0"/>
      <name val="Aptos Narrow"/>
    </font>
    <font>
      <sz val="11"/>
      <color theme="1"/>
      <name val="Aptos Narrow"/>
      <scheme val="minor"/>
    </font>
    <font>
      <sz val="11"/>
      <color theme="1"/>
      <name val="Aptos Narrow"/>
    </font>
    <font>
      <b/>
      <sz val="11"/>
      <color theme="1"/>
      <name val="Aptos Narrow"/>
    </font>
    <font>
      <sz val="11"/>
      <color rgb="FFFFFFFF"/>
      <name val="Aptos Narrow"/>
    </font>
    <font>
      <b/>
      <sz val="11"/>
      <color rgb="FFFFFFFF"/>
      <name val="Arial"/>
    </font>
    <font>
      <sz val="11"/>
      <color theme="1"/>
      <name val="Arial"/>
    </font>
    <font>
      <b/>
      <sz val="11"/>
      <color theme="0"/>
      <name val="Aptos Narrow"/>
    </font>
    <font>
      <sz val="11"/>
      <color rgb="FFFFFFFF"/>
      <name val="Arial"/>
    </font>
    <font>
      <b/>
      <sz val="11"/>
      <color rgb="FFFFFFFF"/>
      <name val="Calibri"/>
    </font>
    <font>
      <sz val="11"/>
      <color theme="0"/>
      <name val="Aptos Narrow"/>
      <family val="2"/>
      <scheme val="minor"/>
    </font>
    <font>
      <b/>
      <sz val="12"/>
      <color theme="0"/>
      <name val="Calibri"/>
    </font>
    <font>
      <sz val="11"/>
      <color theme="0"/>
      <name val="Aptos Narrow"/>
      <scheme val="minor"/>
    </font>
    <font>
      <sz val="11"/>
      <color rgb="FFFFFFFF"/>
      <name val="Calibri"/>
      <family val="2"/>
    </font>
    <font>
      <sz val="11"/>
      <color theme="1"/>
      <name val="Calibri"/>
      <family val="2"/>
    </font>
    <font>
      <sz val="11"/>
      <color rgb="FF000000"/>
      <name val="Calibri"/>
      <family val="2"/>
    </font>
  </fonts>
  <fills count="12">
    <fill>
      <patternFill patternType="none"/>
    </fill>
    <fill>
      <patternFill patternType="gray125"/>
    </fill>
    <fill>
      <patternFill patternType="solid">
        <fgColor rgb="FF002060"/>
        <bgColor rgb="FF002060"/>
      </patternFill>
    </fill>
    <fill>
      <patternFill patternType="solid">
        <fgColor rgb="FFC1F0C8"/>
        <bgColor rgb="FFC1F0C8"/>
      </patternFill>
    </fill>
    <fill>
      <patternFill patternType="solid">
        <fgColor rgb="FFFFC000"/>
        <bgColor rgb="FFFFC000"/>
      </patternFill>
    </fill>
    <fill>
      <patternFill patternType="solid">
        <fgColor rgb="FFFF7C80"/>
        <bgColor rgb="FFFF7C80"/>
      </patternFill>
    </fill>
    <fill>
      <patternFill patternType="solid">
        <fgColor rgb="FFC1E4F5"/>
        <bgColor rgb="FFC1E4F5"/>
      </patternFill>
    </fill>
    <fill>
      <patternFill patternType="solid">
        <fgColor rgb="FFF8F9FA"/>
        <bgColor rgb="FFF8F9FA"/>
      </patternFill>
    </fill>
    <fill>
      <patternFill patternType="solid">
        <fgColor rgb="FFFFFFCC"/>
        <bgColor rgb="FFFFFFCC"/>
      </patternFill>
    </fill>
    <fill>
      <patternFill patternType="solid">
        <fgColor rgb="FFCAEDFB"/>
        <bgColor rgb="FFCAEDFB"/>
      </patternFill>
    </fill>
    <fill>
      <patternFill patternType="solid">
        <fgColor rgb="FFD9F2D0"/>
        <bgColor rgb="FFD9F2D0"/>
      </patternFill>
    </fill>
    <fill>
      <patternFill patternType="solid">
        <fgColor rgb="FF00206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DDDDDD"/>
      </left>
      <right style="thin">
        <color rgb="FFDDDDDD"/>
      </right>
      <top style="thin">
        <color rgb="FFDDDDDD"/>
      </top>
      <bottom style="thin">
        <color rgb="FFDDDDDD"/>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2"/>
  </cellStyleXfs>
  <cellXfs count="49">
    <xf numFmtId="0" fontId="0" fillId="0" borderId="0" xfId="0" applyBorder="1"/>
    <xf numFmtId="0" fontId="3" fillId="0" borderId="0" xfId="0" applyFont="1" applyBorder="1"/>
    <xf numFmtId="0" fontId="5" fillId="2" borderId="1" xfId="0" applyFont="1" applyFill="1" applyBorder="1"/>
    <xf numFmtId="0" fontId="6" fillId="0" borderId="0" xfId="0" applyFont="1" applyBorder="1"/>
    <xf numFmtId="0" fontId="7" fillId="0" borderId="0" xfId="0" applyFont="1" applyBorder="1" applyAlignment="1">
      <alignment wrapText="1"/>
    </xf>
    <xf numFmtId="0" fontId="9" fillId="2" borderId="1" xfId="0" applyFont="1" applyFill="1" applyBorder="1" applyAlignment="1">
      <alignment vertical="top" wrapText="1"/>
    </xf>
    <xf numFmtId="0" fontId="7" fillId="0" borderId="1" xfId="0" applyFont="1" applyBorder="1"/>
    <xf numFmtId="0" fontId="10" fillId="2" borderId="1" xfId="0" applyFont="1" applyFill="1" applyBorder="1"/>
    <xf numFmtId="0" fontId="7" fillId="6" borderId="1" xfId="0" applyFont="1" applyFill="1" applyBorder="1"/>
    <xf numFmtId="0" fontId="7" fillId="7" borderId="1" xfId="0" applyFont="1" applyFill="1" applyBorder="1" applyAlignment="1">
      <alignment vertical="top" wrapText="1"/>
    </xf>
    <xf numFmtId="0" fontId="11" fillId="0" borderId="1" xfId="0" applyFont="1" applyBorder="1"/>
    <xf numFmtId="0" fontId="11" fillId="6" borderId="1" xfId="0" applyFont="1" applyFill="1" applyBorder="1"/>
    <xf numFmtId="0" fontId="11" fillId="7" borderId="1" xfId="0" applyFont="1" applyFill="1" applyBorder="1" applyAlignment="1">
      <alignment vertical="top" wrapText="1"/>
    </xf>
    <xf numFmtId="0" fontId="7" fillId="8" borderId="1" xfId="0" applyFont="1" applyFill="1" applyBorder="1"/>
    <xf numFmtId="0" fontId="7" fillId="9" borderId="1" xfId="0" applyFont="1" applyFill="1" applyBorder="1"/>
    <xf numFmtId="0" fontId="11" fillId="9" borderId="1" xfId="0" applyFont="1" applyFill="1" applyBorder="1"/>
    <xf numFmtId="0" fontId="7" fillId="10" borderId="1" xfId="0" applyFont="1" applyFill="1" applyBorder="1"/>
    <xf numFmtId="0" fontId="12" fillId="2" borderId="1" xfId="0" applyFont="1" applyFill="1" applyBorder="1"/>
    <xf numFmtId="0" fontId="13" fillId="2" borderId="1" xfId="0" applyFont="1" applyFill="1" applyBorder="1"/>
    <xf numFmtId="0" fontId="14" fillId="2" borderId="0" xfId="0" applyFont="1" applyFill="1" applyBorder="1"/>
    <xf numFmtId="0" fontId="14" fillId="2" borderId="3" xfId="0" applyFont="1" applyFill="1" applyBorder="1" applyAlignment="1">
      <alignment vertical="top"/>
    </xf>
    <xf numFmtId="0" fontId="3" fillId="0" borderId="3" xfId="0" applyFont="1" applyBorder="1" applyAlignment="1">
      <alignment vertical="top"/>
    </xf>
    <xf numFmtId="0" fontId="5" fillId="2" borderId="2" xfId="0" applyFont="1" applyFill="1"/>
    <xf numFmtId="0" fontId="8" fillId="3" borderId="2" xfId="0" applyFont="1" applyFill="1" applyAlignment="1">
      <alignment wrapText="1"/>
    </xf>
    <xf numFmtId="0" fontId="7" fillId="3" borderId="2" xfId="0" applyFont="1" applyFill="1" applyAlignment="1">
      <alignment wrapText="1"/>
    </xf>
    <xf numFmtId="0" fontId="8" fillId="4" borderId="2" xfId="0" applyFont="1" applyFill="1" applyAlignment="1">
      <alignment wrapText="1"/>
    </xf>
    <xf numFmtId="0" fontId="8" fillId="5" borderId="2" xfId="0" applyFont="1" applyFill="1" applyAlignment="1">
      <alignment wrapText="1"/>
    </xf>
    <xf numFmtId="0" fontId="7" fillId="10" borderId="2" xfId="0" applyFont="1" applyFill="1"/>
    <xf numFmtId="0" fontId="15" fillId="11" borderId="0" xfId="0" applyFont="1" applyFill="1" applyBorder="1"/>
    <xf numFmtId="0" fontId="15" fillId="11" borderId="0" xfId="0" applyFont="1" applyFill="1" applyBorder="1" applyAlignment="1">
      <alignment wrapText="1"/>
    </xf>
    <xf numFmtId="0" fontId="0" fillId="0" borderId="0" xfId="0" applyBorder="1" applyAlignment="1">
      <alignment wrapText="1"/>
    </xf>
    <xf numFmtId="0" fontId="0" fillId="0" borderId="0" xfId="0" applyBorder="1"/>
    <xf numFmtId="0" fontId="2" fillId="2" borderId="2" xfId="0" applyFont="1" applyFill="1" applyAlignment="1">
      <alignment horizontal="center"/>
    </xf>
    <xf numFmtId="0" fontId="1" fillId="2" borderId="2" xfId="0" applyFont="1" applyFill="1"/>
    <xf numFmtId="0" fontId="4" fillId="0" borderId="2" xfId="0" applyFont="1" applyAlignment="1">
      <alignment horizontal="left" vertical="top" wrapText="1"/>
    </xf>
    <xf numFmtId="0" fontId="7" fillId="0" borderId="0" xfId="0" applyFont="1" applyBorder="1" applyAlignment="1">
      <alignment vertical="top" wrapText="1"/>
    </xf>
    <xf numFmtId="0" fontId="5" fillId="2" borderId="2" xfId="0" applyFont="1" applyFill="1" applyAlignment="1">
      <alignment horizontal="center"/>
    </xf>
    <xf numFmtId="0" fontId="5" fillId="2" borderId="1" xfId="0" applyFont="1" applyFill="1" applyBorder="1"/>
    <xf numFmtId="0" fontId="7" fillId="0" borderId="2" xfId="0" applyFont="1" applyAlignment="1">
      <alignment horizontal="center"/>
    </xf>
    <xf numFmtId="0" fontId="0" fillId="0" borderId="0" xfId="0" applyBorder="1" applyAlignment="1">
      <alignment wrapText="1"/>
    </xf>
    <xf numFmtId="0" fontId="16" fillId="11" borderId="2" xfId="0" applyFont="1" applyFill="1" applyAlignment="1">
      <alignment horizontal="left" vertical="top"/>
    </xf>
    <xf numFmtId="0" fontId="17" fillId="11" borderId="0" xfId="0" applyFont="1" applyFill="1" applyBorder="1"/>
    <xf numFmtId="0" fontId="18" fillId="2" borderId="1" xfId="0" applyFont="1" applyFill="1" applyBorder="1" applyAlignment="1">
      <alignment horizontal="center"/>
    </xf>
    <xf numFmtId="0" fontId="19" fillId="0" borderId="4" xfId="0" applyFont="1" applyBorder="1"/>
    <xf numFmtId="0" fontId="19" fillId="0" borderId="5" xfId="0" applyFont="1" applyBorder="1"/>
    <xf numFmtId="0" fontId="18" fillId="2" borderId="1" xfId="0" applyFont="1" applyFill="1" applyBorder="1" applyAlignment="1">
      <alignment horizontal="left"/>
    </xf>
    <xf numFmtId="0" fontId="20" fillId="0" borderId="1" xfId="0" applyFont="1" applyBorder="1" applyAlignment="1">
      <alignment horizontal="left"/>
    </xf>
    <xf numFmtId="0" fontId="20" fillId="0" borderId="1" xfId="0" applyFont="1" applyBorder="1" applyAlignment="1">
      <alignment horizontal="right"/>
    </xf>
    <xf numFmtId="0" fontId="20" fillId="0" borderId="1" xfId="0" applyFont="1" applyBorder="1"/>
  </cellXfs>
  <cellStyles count="1">
    <cellStyle name="Normal" xfId="0" builtinId="0"/>
  </cellStyles>
  <dxfs count="7">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C000"/>
          <bgColor rgb="FFFFC000"/>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C000"/>
          <bgColor rgb="FFFFC000"/>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8"/>
  <sheetViews>
    <sheetView workbookViewId="0">
      <selection activeCell="A17" sqref="A17:F17"/>
    </sheetView>
  </sheetViews>
  <sheetFormatPr defaultColWidth="12.5546875" defaultRowHeight="15" customHeight="1" x14ac:dyDescent="0.3"/>
  <cols>
    <col min="1" max="1" width="116.88671875" customWidth="1"/>
    <col min="6" max="6" width="40.6640625" customWidth="1"/>
    <col min="7" max="7" width="38.109375" customWidth="1"/>
  </cols>
  <sheetData>
    <row r="1" spans="1:6" ht="14.4" customHeight="1" x14ac:dyDescent="0.3">
      <c r="A1" s="33"/>
      <c r="B1" s="31"/>
      <c r="C1" s="31"/>
      <c r="D1" s="31"/>
      <c r="E1" s="31"/>
      <c r="F1" s="31"/>
    </row>
    <row r="2" spans="1:6" ht="14.4" customHeight="1" x14ac:dyDescent="0.3">
      <c r="A2" s="32" t="s">
        <v>173</v>
      </c>
      <c r="B2" s="31"/>
      <c r="C2" s="31"/>
      <c r="D2" s="31"/>
      <c r="E2" s="31"/>
      <c r="F2" s="31"/>
    </row>
    <row r="3" spans="1:6" ht="15" customHeight="1" x14ac:dyDescent="0.3">
      <c r="A3" s="31"/>
      <c r="B3" s="31"/>
      <c r="C3" s="31"/>
      <c r="D3" s="31"/>
      <c r="E3" s="31"/>
      <c r="F3" s="31"/>
    </row>
    <row r="4" spans="1:6" ht="14.4" customHeight="1" x14ac:dyDescent="0.3">
      <c r="A4" s="1"/>
      <c r="B4" s="1"/>
      <c r="C4" s="1"/>
      <c r="D4" s="1"/>
      <c r="E4" s="1"/>
      <c r="F4" s="1"/>
    </row>
    <row r="5" spans="1:6" ht="15.6" customHeight="1" x14ac:dyDescent="0.3">
      <c r="A5" s="40" t="s">
        <v>174</v>
      </c>
      <c r="B5" s="41"/>
      <c r="C5" s="41"/>
      <c r="D5" s="41"/>
      <c r="E5" s="41"/>
      <c r="F5" s="41"/>
    </row>
    <row r="6" spans="1:6" ht="158.4" customHeight="1" x14ac:dyDescent="0.3">
      <c r="A6" s="34" t="s">
        <v>175</v>
      </c>
      <c r="B6" s="39"/>
      <c r="C6" s="39"/>
      <c r="D6" s="39"/>
      <c r="E6" s="39"/>
      <c r="F6" s="39"/>
    </row>
    <row r="7" spans="1:6" ht="14.4" customHeight="1" x14ac:dyDescent="0.3">
      <c r="A7" s="1"/>
      <c r="B7" s="1"/>
      <c r="C7" s="1"/>
      <c r="D7" s="1"/>
      <c r="E7" s="1"/>
      <c r="F7" s="1"/>
    </row>
    <row r="8" spans="1:6" ht="15.6" customHeight="1" x14ac:dyDescent="0.3">
      <c r="A8" s="40" t="s">
        <v>176</v>
      </c>
      <c r="B8" s="41"/>
      <c r="C8" s="41"/>
      <c r="D8" s="41"/>
      <c r="E8" s="41"/>
      <c r="F8" s="41"/>
    </row>
    <row r="9" spans="1:6" ht="109.8" customHeight="1" x14ac:dyDescent="0.3">
      <c r="A9" s="34" t="s">
        <v>177</v>
      </c>
      <c r="B9" s="39"/>
      <c r="C9" s="39"/>
      <c r="D9" s="39"/>
      <c r="E9" s="39"/>
      <c r="F9" s="39"/>
    </row>
    <row r="10" spans="1:6" ht="14.4" customHeight="1" x14ac:dyDescent="0.3">
      <c r="A10" s="1"/>
      <c r="B10" s="1"/>
      <c r="C10" s="1"/>
      <c r="D10" s="1"/>
      <c r="E10" s="1"/>
      <c r="F10" s="1"/>
    </row>
    <row r="11" spans="1:6" ht="15.6" customHeight="1" x14ac:dyDescent="0.3">
      <c r="A11" s="40" t="s">
        <v>178</v>
      </c>
      <c r="B11" s="41"/>
      <c r="C11" s="41"/>
      <c r="D11" s="41"/>
      <c r="E11" s="41"/>
      <c r="F11" s="41"/>
    </row>
    <row r="12" spans="1:6" ht="103.2" customHeight="1" x14ac:dyDescent="0.3">
      <c r="A12" s="34" t="s">
        <v>179</v>
      </c>
      <c r="B12" s="39"/>
      <c r="C12" s="39"/>
      <c r="D12" s="39"/>
      <c r="E12" s="39"/>
      <c r="F12" s="39"/>
    </row>
    <row r="13" spans="1:6" ht="14.4" customHeight="1" x14ac:dyDescent="0.3">
      <c r="A13" s="1"/>
      <c r="B13" s="1"/>
      <c r="C13" s="1"/>
      <c r="D13" s="1"/>
      <c r="E13" s="1"/>
      <c r="F13" s="1"/>
    </row>
    <row r="14" spans="1:6" ht="15.6" customHeight="1" x14ac:dyDescent="0.3">
      <c r="A14" s="40" t="s">
        <v>180</v>
      </c>
      <c r="B14" s="41"/>
      <c r="C14" s="41"/>
      <c r="D14" s="41"/>
      <c r="E14" s="41"/>
      <c r="F14" s="41"/>
    </row>
    <row r="15" spans="1:6" ht="126.6" customHeight="1" x14ac:dyDescent="0.3">
      <c r="A15" s="34" t="s">
        <v>181</v>
      </c>
      <c r="B15" s="39"/>
      <c r="C15" s="39"/>
      <c r="D15" s="39"/>
      <c r="E15" s="39"/>
      <c r="F15" s="39"/>
    </row>
    <row r="16" spans="1:6" ht="14.4" customHeight="1" x14ac:dyDescent="0.3">
      <c r="A16" s="1"/>
      <c r="B16" s="1"/>
      <c r="C16" s="1"/>
      <c r="D16" s="1"/>
      <c r="E16" s="1"/>
      <c r="F16" s="1"/>
    </row>
    <row r="17" spans="1:6" ht="15.6" customHeight="1" x14ac:dyDescent="0.3">
      <c r="A17" s="40" t="s">
        <v>182</v>
      </c>
      <c r="B17" s="41"/>
      <c r="C17" s="41"/>
      <c r="D17" s="41"/>
      <c r="E17" s="41"/>
      <c r="F17" s="41"/>
    </row>
    <row r="18" spans="1:6" ht="121.2" customHeight="1" x14ac:dyDescent="0.3">
      <c r="A18" s="34" t="s">
        <v>183</v>
      </c>
      <c r="B18" s="39"/>
      <c r="C18" s="39"/>
      <c r="D18" s="39"/>
      <c r="E18" s="39"/>
      <c r="F18" s="39"/>
    </row>
  </sheetData>
  <mergeCells count="12">
    <mergeCell ref="A17:F17"/>
    <mergeCell ref="A18:F18"/>
    <mergeCell ref="A12:F12"/>
    <mergeCell ref="A15:F15"/>
    <mergeCell ref="A11:F11"/>
    <mergeCell ref="A2:F3"/>
    <mergeCell ref="A14:F14"/>
    <mergeCell ref="A1:F1"/>
    <mergeCell ref="A5:F5"/>
    <mergeCell ref="A9:F9"/>
    <mergeCell ref="A8:F8"/>
    <mergeCell ref="A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workbookViewId="0">
      <selection sqref="A1:C1"/>
    </sheetView>
  </sheetViews>
  <sheetFormatPr defaultRowHeight="14.4" x14ac:dyDescent="0.3"/>
  <cols>
    <col min="1" max="1" width="20" bestFit="1" customWidth="1"/>
    <col min="2" max="2" width="4.109375" bestFit="1" customWidth="1"/>
    <col min="3" max="3" width="37.109375" bestFit="1" customWidth="1"/>
    <col min="4" max="4" width="34.6640625" bestFit="1" customWidth="1"/>
    <col min="5" max="5" width="114.44140625" bestFit="1" customWidth="1"/>
  </cols>
  <sheetData>
    <row r="1" spans="1:5" x14ac:dyDescent="0.3">
      <c r="A1" s="28" t="s">
        <v>0</v>
      </c>
      <c r="B1" s="28" t="s">
        <v>184</v>
      </c>
      <c r="C1" s="28" t="s">
        <v>185</v>
      </c>
      <c r="D1" s="28" t="s">
        <v>186</v>
      </c>
      <c r="E1" s="28" t="s">
        <v>187</v>
      </c>
    </row>
    <row r="2" spans="1:5" x14ac:dyDescent="0.3">
      <c r="A2" t="s">
        <v>188</v>
      </c>
      <c r="B2" t="s">
        <v>189</v>
      </c>
      <c r="C2" t="s">
        <v>190</v>
      </c>
      <c r="D2" t="s">
        <v>191</v>
      </c>
      <c r="E2" t="s">
        <v>192</v>
      </c>
    </row>
    <row r="3" spans="1:5" x14ac:dyDescent="0.3">
      <c r="A3" t="s">
        <v>188</v>
      </c>
      <c r="B3" t="s">
        <v>193</v>
      </c>
      <c r="C3" t="s">
        <v>194</v>
      </c>
      <c r="D3" t="s">
        <v>195</v>
      </c>
      <c r="E3" t="s">
        <v>196</v>
      </c>
    </row>
    <row r="4" spans="1:5" x14ac:dyDescent="0.3">
      <c r="A4" t="s">
        <v>188</v>
      </c>
      <c r="B4" t="s">
        <v>197</v>
      </c>
      <c r="C4" t="s">
        <v>198</v>
      </c>
      <c r="D4" t="s">
        <v>195</v>
      </c>
      <c r="E4" t="s">
        <v>199</v>
      </c>
    </row>
    <row r="5" spans="1:5" x14ac:dyDescent="0.3">
      <c r="A5" t="s">
        <v>188</v>
      </c>
      <c r="B5" t="s">
        <v>200</v>
      </c>
      <c r="C5" t="s">
        <v>201</v>
      </c>
      <c r="D5" t="s">
        <v>202</v>
      </c>
      <c r="E5" t="s">
        <v>203</v>
      </c>
    </row>
    <row r="6" spans="1:5" x14ac:dyDescent="0.3">
      <c r="A6" t="s">
        <v>188</v>
      </c>
      <c r="B6" t="s">
        <v>204</v>
      </c>
      <c r="C6" t="s">
        <v>205</v>
      </c>
      <c r="D6" t="s">
        <v>195</v>
      </c>
      <c r="E6" t="s">
        <v>206</v>
      </c>
    </row>
    <row r="7" spans="1:5" x14ac:dyDescent="0.3">
      <c r="A7" t="s">
        <v>188</v>
      </c>
      <c r="B7" t="s">
        <v>207</v>
      </c>
      <c r="C7" t="s">
        <v>208</v>
      </c>
      <c r="D7" t="s">
        <v>209</v>
      </c>
      <c r="E7" t="s">
        <v>210</v>
      </c>
    </row>
    <row r="8" spans="1:5" x14ac:dyDescent="0.3">
      <c r="A8" t="s">
        <v>188</v>
      </c>
      <c r="B8" t="s">
        <v>211</v>
      </c>
      <c r="C8" t="s">
        <v>212</v>
      </c>
      <c r="D8" t="s">
        <v>213</v>
      </c>
      <c r="E8" t="s">
        <v>214</v>
      </c>
    </row>
    <row r="9" spans="1:5" x14ac:dyDescent="0.3">
      <c r="A9" t="s">
        <v>188</v>
      </c>
      <c r="B9" t="s">
        <v>215</v>
      </c>
      <c r="C9" t="s">
        <v>216</v>
      </c>
      <c r="D9" t="s">
        <v>213</v>
      </c>
      <c r="E9" t="s">
        <v>217</v>
      </c>
    </row>
    <row r="10" spans="1:5" x14ac:dyDescent="0.3">
      <c r="A10" t="s">
        <v>188</v>
      </c>
      <c r="B10" t="s">
        <v>218</v>
      </c>
      <c r="C10" t="s">
        <v>219</v>
      </c>
      <c r="D10" t="s">
        <v>213</v>
      </c>
      <c r="E10" t="s">
        <v>220</v>
      </c>
    </row>
    <row r="11" spans="1:5" x14ac:dyDescent="0.3">
      <c r="A11" t="s">
        <v>188</v>
      </c>
      <c r="B11" t="s">
        <v>221</v>
      </c>
      <c r="C11" t="s">
        <v>222</v>
      </c>
      <c r="D11" t="s">
        <v>213</v>
      </c>
      <c r="E11" t="s">
        <v>223</v>
      </c>
    </row>
    <row r="12" spans="1:5" x14ac:dyDescent="0.3">
      <c r="A12" t="s">
        <v>188</v>
      </c>
      <c r="B12" t="s">
        <v>224</v>
      </c>
      <c r="C12" t="s">
        <v>225</v>
      </c>
      <c r="D12" t="s">
        <v>226</v>
      </c>
      <c r="E12" t="s">
        <v>227</v>
      </c>
    </row>
    <row r="13" spans="1:5" x14ac:dyDescent="0.3">
      <c r="A13" t="s">
        <v>228</v>
      </c>
      <c r="B13" t="s">
        <v>229</v>
      </c>
      <c r="C13" t="s">
        <v>230</v>
      </c>
      <c r="D13" t="s">
        <v>231</v>
      </c>
      <c r="E13" t="s">
        <v>232</v>
      </c>
    </row>
    <row r="14" spans="1:5" x14ac:dyDescent="0.3">
      <c r="A14" t="s">
        <v>228</v>
      </c>
      <c r="B14" t="s">
        <v>233</v>
      </c>
      <c r="C14" t="s">
        <v>40</v>
      </c>
      <c r="D14" t="s">
        <v>195</v>
      </c>
      <c r="E14" t="s">
        <v>234</v>
      </c>
    </row>
    <row r="15" spans="1:5" x14ac:dyDescent="0.3">
      <c r="A15" t="s">
        <v>228</v>
      </c>
      <c r="B15" t="s">
        <v>235</v>
      </c>
      <c r="C15" t="s">
        <v>236</v>
      </c>
      <c r="D15" t="s">
        <v>237</v>
      </c>
      <c r="E15" t="s">
        <v>238</v>
      </c>
    </row>
    <row r="16" spans="1:5" x14ac:dyDescent="0.3">
      <c r="A16" t="s">
        <v>228</v>
      </c>
      <c r="B16" t="s">
        <v>239</v>
      </c>
      <c r="C16" t="s">
        <v>240</v>
      </c>
      <c r="D16" t="s">
        <v>237</v>
      </c>
      <c r="E16" t="s">
        <v>241</v>
      </c>
    </row>
    <row r="17" spans="1:5" x14ac:dyDescent="0.3">
      <c r="A17" t="s">
        <v>242</v>
      </c>
      <c r="B17" t="s">
        <v>243</v>
      </c>
      <c r="C17" t="s">
        <v>71</v>
      </c>
      <c r="D17" t="s">
        <v>195</v>
      </c>
      <c r="E17" t="s">
        <v>244</v>
      </c>
    </row>
    <row r="18" spans="1:5" x14ac:dyDescent="0.3">
      <c r="A18" t="s">
        <v>242</v>
      </c>
      <c r="B18" t="s">
        <v>245</v>
      </c>
      <c r="C18" t="s">
        <v>77</v>
      </c>
      <c r="D18" t="s">
        <v>195</v>
      </c>
      <c r="E18" t="s">
        <v>246</v>
      </c>
    </row>
    <row r="19" spans="1:5" x14ac:dyDescent="0.3">
      <c r="A19" t="s">
        <v>242</v>
      </c>
      <c r="B19" t="s">
        <v>247</v>
      </c>
      <c r="C19" t="s">
        <v>83</v>
      </c>
      <c r="D19" t="s">
        <v>195</v>
      </c>
      <c r="E19" t="s">
        <v>248</v>
      </c>
    </row>
    <row r="20" spans="1:5" x14ac:dyDescent="0.3">
      <c r="A20" t="s">
        <v>242</v>
      </c>
      <c r="B20" t="s">
        <v>249</v>
      </c>
      <c r="C20" t="s">
        <v>96</v>
      </c>
      <c r="D20" t="s">
        <v>195</v>
      </c>
      <c r="E20" t="s">
        <v>250</v>
      </c>
    </row>
    <row r="21" spans="1:5" x14ac:dyDescent="0.3">
      <c r="A21" t="s">
        <v>242</v>
      </c>
      <c r="B21" t="s">
        <v>251</v>
      </c>
      <c r="C21" t="s">
        <v>252</v>
      </c>
      <c r="D21" t="s">
        <v>195</v>
      </c>
      <c r="E21" t="s">
        <v>253</v>
      </c>
    </row>
    <row r="22" spans="1:5" x14ac:dyDescent="0.3">
      <c r="A22" t="s">
        <v>242</v>
      </c>
      <c r="B22" t="s">
        <v>254</v>
      </c>
      <c r="C22" t="s">
        <v>108</v>
      </c>
      <c r="D22" t="s">
        <v>209</v>
      </c>
      <c r="E22" t="s">
        <v>255</v>
      </c>
    </row>
    <row r="23" spans="1:5" x14ac:dyDescent="0.3">
      <c r="A23" t="s">
        <v>242</v>
      </c>
      <c r="B23" t="s">
        <v>256</v>
      </c>
      <c r="C23" t="s">
        <v>257</v>
      </c>
      <c r="D23" t="s">
        <v>209</v>
      </c>
      <c r="E23" t="s">
        <v>258</v>
      </c>
    </row>
    <row r="24" spans="1:5" x14ac:dyDescent="0.3">
      <c r="A24" t="s">
        <v>259</v>
      </c>
      <c r="B24" t="s">
        <v>260</v>
      </c>
      <c r="C24" t="s">
        <v>261</v>
      </c>
      <c r="D24" t="s">
        <v>262</v>
      </c>
      <c r="E24" t="s">
        <v>263</v>
      </c>
    </row>
    <row r="25" spans="1:5" x14ac:dyDescent="0.3">
      <c r="A25" t="s">
        <v>259</v>
      </c>
      <c r="B25" t="s">
        <v>264</v>
      </c>
      <c r="C25" t="s">
        <v>265</v>
      </c>
      <c r="D25" t="s">
        <v>262</v>
      </c>
      <c r="E25" t="s">
        <v>263</v>
      </c>
    </row>
    <row r="26" spans="1:5" x14ac:dyDescent="0.3">
      <c r="A26" t="s">
        <v>259</v>
      </c>
      <c r="B26" t="s">
        <v>266</v>
      </c>
      <c r="C26" t="s">
        <v>267</v>
      </c>
      <c r="D26" t="s">
        <v>262</v>
      </c>
      <c r="E26" t="s">
        <v>263</v>
      </c>
    </row>
    <row r="27" spans="1:5" x14ac:dyDescent="0.3">
      <c r="A27" t="s">
        <v>259</v>
      </c>
      <c r="B27" t="s">
        <v>268</v>
      </c>
      <c r="C27" t="s">
        <v>269</v>
      </c>
      <c r="D27" t="s">
        <v>262</v>
      </c>
      <c r="E27" t="s">
        <v>263</v>
      </c>
    </row>
    <row r="28" spans="1:5" x14ac:dyDescent="0.3">
      <c r="A28" t="s">
        <v>259</v>
      </c>
      <c r="B28" t="s">
        <v>270</v>
      </c>
      <c r="C28" t="s">
        <v>271</v>
      </c>
      <c r="D28" t="s">
        <v>262</v>
      </c>
      <c r="E28" t="s">
        <v>263</v>
      </c>
    </row>
    <row r="29" spans="1:5" x14ac:dyDescent="0.3">
      <c r="A29" t="s">
        <v>259</v>
      </c>
      <c r="B29" t="s">
        <v>272</v>
      </c>
      <c r="C29" t="s">
        <v>273</v>
      </c>
      <c r="D29" t="s">
        <v>262</v>
      </c>
      <c r="E29" t="s">
        <v>263</v>
      </c>
    </row>
    <row r="30" spans="1:5" x14ac:dyDescent="0.3">
      <c r="A30" t="s">
        <v>259</v>
      </c>
      <c r="B30" t="s">
        <v>274</v>
      </c>
      <c r="C30" t="s">
        <v>275</v>
      </c>
      <c r="D30" t="s">
        <v>262</v>
      </c>
      <c r="E30" t="s">
        <v>263</v>
      </c>
    </row>
    <row r="31" spans="1:5" x14ac:dyDescent="0.3">
      <c r="A31" t="s">
        <v>259</v>
      </c>
      <c r="B31" t="s">
        <v>276</v>
      </c>
      <c r="C31" t="s">
        <v>277</v>
      </c>
      <c r="D31" t="s">
        <v>262</v>
      </c>
      <c r="E31" t="s">
        <v>263</v>
      </c>
    </row>
    <row r="32" spans="1:5" x14ac:dyDescent="0.3">
      <c r="A32" t="s">
        <v>259</v>
      </c>
      <c r="B32" t="s">
        <v>278</v>
      </c>
      <c r="C32" t="s">
        <v>279</v>
      </c>
      <c r="D32" t="s">
        <v>262</v>
      </c>
      <c r="E32" t="s">
        <v>263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workbookViewId="0">
      <selection activeCell="C9" sqref="C9"/>
    </sheetView>
  </sheetViews>
  <sheetFormatPr defaultRowHeight="14.4" x14ac:dyDescent="0.3"/>
  <cols>
    <col min="1" max="1" width="38.33203125" bestFit="1" customWidth="1"/>
    <col min="2" max="2" width="54" customWidth="1"/>
    <col min="3" max="3" width="52.109375" customWidth="1"/>
    <col min="4" max="4" width="60.77734375" customWidth="1"/>
    <col min="5" max="5" width="48.21875" customWidth="1"/>
    <col min="6" max="6" width="35.6640625" customWidth="1"/>
  </cols>
  <sheetData>
    <row r="1" spans="1:6" x14ac:dyDescent="0.3">
      <c r="A1" s="29" t="s">
        <v>280</v>
      </c>
      <c r="B1" s="29" t="s">
        <v>281</v>
      </c>
      <c r="C1" s="29" t="s">
        <v>282</v>
      </c>
      <c r="D1" s="29" t="s">
        <v>283</v>
      </c>
      <c r="E1" s="29" t="s">
        <v>284</v>
      </c>
      <c r="F1" s="29" t="s">
        <v>285</v>
      </c>
    </row>
    <row r="2" spans="1:6" ht="72" customHeight="1" x14ac:dyDescent="0.3">
      <c r="A2" s="30" t="s">
        <v>286</v>
      </c>
      <c r="B2" s="30" t="s">
        <v>287</v>
      </c>
      <c r="C2" s="30" t="s">
        <v>288</v>
      </c>
      <c r="D2" s="30" t="s">
        <v>289</v>
      </c>
      <c r="E2" s="30" t="s">
        <v>290</v>
      </c>
      <c r="F2" s="30" t="s">
        <v>291</v>
      </c>
    </row>
    <row r="3" spans="1:6" ht="100.8" customHeight="1" x14ac:dyDescent="0.3">
      <c r="A3" s="30" t="s">
        <v>292</v>
      </c>
      <c r="B3" s="30" t="s">
        <v>293</v>
      </c>
      <c r="C3" s="30" t="s">
        <v>294</v>
      </c>
      <c r="D3" s="30" t="s">
        <v>295</v>
      </c>
      <c r="E3" s="30" t="s">
        <v>296</v>
      </c>
      <c r="F3" s="30" t="s">
        <v>297</v>
      </c>
    </row>
    <row r="4" spans="1:6" ht="57.6" customHeight="1" x14ac:dyDescent="0.3">
      <c r="A4" s="30" t="s">
        <v>298</v>
      </c>
      <c r="B4" s="30" t="s">
        <v>299</v>
      </c>
      <c r="C4" s="30" t="s">
        <v>300</v>
      </c>
      <c r="D4" s="30" t="s">
        <v>301</v>
      </c>
      <c r="E4" s="30" t="s">
        <v>302</v>
      </c>
      <c r="F4" s="30" t="s">
        <v>303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0"/>
  <sheetViews>
    <sheetView tabSelected="1" workbookViewId="0">
      <selection activeCell="E10" sqref="E10"/>
    </sheetView>
  </sheetViews>
  <sheetFormatPr defaultColWidth="12.5546875" defaultRowHeight="15" customHeight="1" x14ac:dyDescent="0.3"/>
  <cols>
    <col min="1" max="4" width="34.44140625" customWidth="1"/>
    <col min="5" max="8" width="32" customWidth="1"/>
    <col min="9" max="26" width="34.44140625" customWidth="1"/>
  </cols>
  <sheetData>
    <row r="1" spans="1:8" ht="14.25" customHeight="1" x14ac:dyDescent="0.3">
      <c r="A1" s="2" t="s">
        <v>304</v>
      </c>
      <c r="B1" s="22" t="s">
        <v>305</v>
      </c>
      <c r="C1" s="22" t="s">
        <v>306</v>
      </c>
      <c r="E1" s="37" t="s">
        <v>307</v>
      </c>
      <c r="F1" s="37"/>
      <c r="G1" s="37"/>
      <c r="H1" s="37"/>
    </row>
    <row r="2" spans="1:8" ht="14.25" customHeight="1" x14ac:dyDescent="0.3">
      <c r="A2" s="3" t="str">
        <f>'Feasibility Assessment'!B28</f>
        <v>Conditional Go</v>
      </c>
      <c r="B2" s="3" t="str">
        <f>'Feasibility Assessment'!B54</f>
        <v>Conditional Go</v>
      </c>
      <c r="C2" s="3" t="str">
        <f>'Feasibility Assessment'!B67</f>
        <v>Maybe</v>
      </c>
      <c r="E2" s="35" t="str">
        <f>IF($A$2="","", "A1: "&amp;IF($A$2="No-go","Hard blocker. Levers: "&amp;'Actions &amp; data library'!E2&amp;" Next data: "&amp;'Actions &amp; data library'!F2, IF($A$2="Maybe","Borderline. Levers: "&amp;'Actions &amp; data library'!E2&amp;" Next data: "&amp;'Actions &amp; data library'!F2, "Feasible (conditional). Next to confirm: "&amp;'Actions &amp; data library'!F2)))</f>
        <v>A1: Feasible (conditional). Next to confirm: Measured km/day (AVL/GPS); confirm dwell times at candidate charging point; route classification; measured kWh/km from pilot or OEM data.</v>
      </c>
      <c r="F2" s="35"/>
      <c r="G2" s="35"/>
      <c r="H2" s="35"/>
    </row>
    <row r="3" spans="1:8" ht="14.25" customHeight="1" x14ac:dyDescent="0.3">
      <c r="A3" s="36" t="s">
        <v>308</v>
      </c>
      <c r="B3" s="31"/>
      <c r="C3" s="31"/>
      <c r="E3" s="35" t="str">
        <f>IF($B$2="","", "A2: "&amp;IF($B$2="No-go","Major gap (not a hard stop). Levers: "&amp;'Actions &amp; data library'!E3&amp;" Next data: "&amp;'Actions &amp; data library'!F3, IF($B$2="Maybe","Borderline. Levers: "&amp;'Actions &amp; data library'!E3&amp;" Next data: "&amp;'Actions &amp; data library'!F3, "Feasible (conditional). Next to confirm: "&amp;'Actions &amp; data library'!F3)))</f>
        <v>A2: Feasible (conditional). Next to confirm: Utility written capacity/headroom; 15-min meter data (night + midday peaks); confirmation of allowable charger power; depot operating hours and plug-in discipline.</v>
      </c>
      <c r="F3" s="35"/>
      <c r="G3" s="35"/>
      <c r="H3" s="35"/>
    </row>
    <row r="4" spans="1:8" ht="14.25" customHeight="1" x14ac:dyDescent="0.3">
      <c r="A4" s="38" t="str">
        <f>IF(OR(A2="",B2="",C2=""),"",IF(A2="No-go","No-go",IF(OR(B2="No-go",C2="No-go"),"Maybe",IF(OR(A2="Maybe",B2="Maybe",C2="Maybe"),"Maybe","Conditional Go"))))</f>
        <v>Maybe</v>
      </c>
      <c r="B4" s="31"/>
      <c r="C4" s="31"/>
      <c r="E4" s="35" t="str">
        <f>IF($C$2="","", "A3: "&amp;IF($C$2="No-go","Major gap (not a hard stop). Levers: "&amp;'Actions &amp; data library'!E4&amp;" Next data: "&amp;'Actions &amp; data library'!F4, IF($C$2="Maybe","Borderline. Levers: "&amp;'Actions &amp; data library'!E4&amp;" Next data: "&amp;'Actions &amp; data library'!F4, "Feasible (conditional). Next to confirm: "&amp;'Actions &amp; data library'!F4)))</f>
        <v>A3: Borderline. Levers: Close specific gaps: HV training; insulated tools; formal LOTO; PPE; Li-ion fire response; quarantine/handling area; OEM diagnostics access; hoist capacity; EV maintenance schedule/SOPs. Next data: Workshop audit evidence: certificates, tool inventory, SOP documents, photos; supplier quotes and implementation timeline for missing items.</v>
      </c>
      <c r="F4" s="35"/>
      <c r="G4" s="35"/>
      <c r="H4" s="35"/>
    </row>
    <row r="5" spans="1:8" ht="14.25" customHeight="1" x14ac:dyDescent="0.3">
      <c r="E5" s="35" t="str">
        <f>IF($A$4="","", "Overall: "&amp;IF($A$4="No-go","No-go driven by A1 route/vehicle feasibility. Apply A1 levers and re-run.", IF($A$4="Maybe","Maybe overall. Resolve the major gaps flagged above (especially any A2/A3 No-go) and confirm the ‘Next data’ items; then re-run.", "Conditional Go overall. Confirm the conditions listed above and proceed to detailed design and costing (Modules B/C).")) )</f>
        <v>Overall: Maybe overall. Resolve the major gaps flagged above (especially any A2/A3 No-go) and confirm the ‘Next data’ items; then re-run.</v>
      </c>
      <c r="F5" s="35"/>
      <c r="G5" s="35"/>
      <c r="H5" s="35"/>
    </row>
    <row r="6" spans="1:8" ht="14.25" customHeight="1" x14ac:dyDescent="0.3">
      <c r="A6" s="23" t="s">
        <v>309</v>
      </c>
    </row>
    <row r="7" spans="1:8" ht="112.8" customHeight="1" x14ac:dyDescent="0.3">
      <c r="A7" s="24" t="s">
        <v>310</v>
      </c>
      <c r="B7" s="4"/>
      <c r="C7" s="4"/>
      <c r="D7" s="4"/>
      <c r="E7" s="4"/>
    </row>
    <row r="8" spans="1:8" ht="14.25" customHeight="1" x14ac:dyDescent="0.3">
      <c r="A8" s="4"/>
      <c r="B8" s="4"/>
      <c r="C8" s="4"/>
      <c r="D8" s="4"/>
      <c r="E8" s="4"/>
    </row>
    <row r="9" spans="1:8" ht="14.25" customHeight="1" x14ac:dyDescent="0.3">
      <c r="A9" s="25" t="s">
        <v>311</v>
      </c>
      <c r="B9" s="4"/>
      <c r="C9" s="4"/>
      <c r="D9" s="4"/>
      <c r="E9" s="4"/>
    </row>
    <row r="10" spans="1:8" ht="147" customHeight="1" x14ac:dyDescent="0.3">
      <c r="A10" s="25" t="s">
        <v>312</v>
      </c>
    </row>
    <row r="11" spans="1:8" ht="14.25" customHeight="1" x14ac:dyDescent="0.3">
      <c r="A11" s="4"/>
    </row>
    <row r="12" spans="1:8" ht="14.25" customHeight="1" x14ac:dyDescent="0.3">
      <c r="A12" s="26" t="s">
        <v>313</v>
      </c>
    </row>
    <row r="13" spans="1:8" ht="157.80000000000001" customHeight="1" x14ac:dyDescent="0.3">
      <c r="A13" s="26" t="s">
        <v>314</v>
      </c>
    </row>
    <row r="14" spans="1:8" ht="14.25" customHeight="1" x14ac:dyDescent="0.3"/>
    <row r="15" spans="1:8" ht="14.25" customHeight="1" x14ac:dyDescent="0.3"/>
    <row r="16" spans="1:8"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7">
    <mergeCell ref="E3:H3"/>
    <mergeCell ref="E4:H4"/>
    <mergeCell ref="E5:H5"/>
    <mergeCell ref="A3:C3"/>
    <mergeCell ref="E1:H1"/>
    <mergeCell ref="A4:C4"/>
    <mergeCell ref="E2:H2"/>
  </mergeCells>
  <conditionalFormatting sqref="A2:C2 A3">
    <cfRule type="cellIs" dxfId="6" priority="1" operator="equal">
      <formula>"Conditional Go"</formula>
    </cfRule>
    <cfRule type="cellIs" dxfId="5" priority="2" operator="equal">
      <formula>"Maybe"</formula>
    </cfRule>
    <cfRule type="cellIs" dxfId="4" priority="3" operator="equal">
      <formula>"Condiotional Go"</formula>
    </cfRule>
    <cfRule type="cellIs" dxfId="3" priority="4" operator="equal">
      <formula>"No-go"</formula>
    </cfRule>
  </conditionalFormatting>
  <conditionalFormatting sqref="A4:C4">
    <cfRule type="cellIs" dxfId="2" priority="5" operator="equal">
      <formula>"Maybe"</formula>
    </cfRule>
    <cfRule type="cellIs" dxfId="1" priority="6" operator="equal">
      <formula>"Conditional Go"</formula>
    </cfRule>
    <cfRule type="cellIs" dxfId="0" priority="7" operator="equal">
      <formula>"No-go"</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workbookViewId="0">
      <selection activeCell="B12" sqref="B12"/>
    </sheetView>
  </sheetViews>
  <sheetFormatPr defaultColWidth="12.5546875" defaultRowHeight="15" customHeight="1" x14ac:dyDescent="0.3"/>
  <cols>
    <col min="1" max="1" width="55" customWidth="1"/>
    <col min="2" max="2" width="43.44140625" customWidth="1"/>
    <col min="3" max="3" width="57.44140625" customWidth="1"/>
    <col min="4" max="25" width="8.5546875" customWidth="1"/>
  </cols>
  <sheetData>
    <row r="1" spans="1:3" ht="14.25" customHeight="1" x14ac:dyDescent="0.3">
      <c r="A1" s="2" t="s">
        <v>315</v>
      </c>
      <c r="B1" s="2"/>
      <c r="C1" s="2"/>
    </row>
    <row r="2" spans="1:3" ht="14.25" customHeight="1" x14ac:dyDescent="0.3">
      <c r="A2" s="5" t="s">
        <v>316</v>
      </c>
      <c r="B2" s="6"/>
      <c r="C2" s="6"/>
    </row>
    <row r="3" spans="1:3" ht="14.25" customHeight="1" x14ac:dyDescent="0.3">
      <c r="A3" s="6"/>
      <c r="B3" s="6"/>
      <c r="C3" s="6"/>
    </row>
    <row r="4" spans="1:3" ht="14.25" customHeight="1" x14ac:dyDescent="0.3">
      <c r="A4" s="7" t="s">
        <v>317</v>
      </c>
      <c r="B4" s="2"/>
      <c r="C4" s="2"/>
    </row>
    <row r="5" spans="1:3" ht="14.25" customHeight="1" x14ac:dyDescent="0.3">
      <c r="A5" s="6" t="s">
        <v>190</v>
      </c>
      <c r="B5" s="8"/>
      <c r="C5" s="9" t="s">
        <v>318</v>
      </c>
    </row>
    <row r="6" spans="1:3" ht="14.25" customHeight="1" x14ac:dyDescent="0.3">
      <c r="A6" s="10" t="s">
        <v>194</v>
      </c>
      <c r="B6" s="11">
        <v>50</v>
      </c>
      <c r="C6" s="12" t="s">
        <v>319</v>
      </c>
    </row>
    <row r="7" spans="1:3" ht="14.25" customHeight="1" x14ac:dyDescent="0.3">
      <c r="A7" s="6" t="s">
        <v>198</v>
      </c>
      <c r="B7" s="8">
        <v>3</v>
      </c>
      <c r="C7" s="12" t="s">
        <v>320</v>
      </c>
    </row>
    <row r="8" spans="1:3" ht="14.25" customHeight="1" x14ac:dyDescent="0.3">
      <c r="A8" s="6" t="s">
        <v>321</v>
      </c>
      <c r="B8" s="11" t="s">
        <v>322</v>
      </c>
      <c r="C8" s="9" t="s">
        <v>323</v>
      </c>
    </row>
    <row r="9" spans="1:3" ht="14.25" customHeight="1" x14ac:dyDescent="0.3">
      <c r="A9" s="6" t="s">
        <v>324</v>
      </c>
      <c r="B9" s="11" t="s">
        <v>325</v>
      </c>
      <c r="C9" s="9" t="s">
        <v>326</v>
      </c>
    </row>
    <row r="10" spans="1:3" ht="14.25" customHeight="1" x14ac:dyDescent="0.3">
      <c r="A10" s="6" t="s">
        <v>327</v>
      </c>
      <c r="B10" s="11" t="s">
        <v>328</v>
      </c>
      <c r="C10" s="9" t="s">
        <v>329</v>
      </c>
    </row>
    <row r="11" spans="1:3" ht="14.25" customHeight="1" x14ac:dyDescent="0.3">
      <c r="A11" s="6" t="s">
        <v>225</v>
      </c>
      <c r="B11" s="11">
        <v>6</v>
      </c>
      <c r="C11" s="9" t="s">
        <v>330</v>
      </c>
    </row>
    <row r="12" spans="1:3" ht="14.25" customHeight="1" x14ac:dyDescent="0.3">
      <c r="A12" s="6" t="s">
        <v>201</v>
      </c>
      <c r="B12" s="11">
        <v>150</v>
      </c>
      <c r="C12" s="9" t="s">
        <v>331</v>
      </c>
    </row>
    <row r="13" spans="1:3" ht="14.25" customHeight="1" x14ac:dyDescent="0.3">
      <c r="A13" s="6" t="s">
        <v>332</v>
      </c>
      <c r="B13" s="11">
        <v>25</v>
      </c>
      <c r="C13" s="9" t="s">
        <v>333</v>
      </c>
    </row>
    <row r="14" spans="1:3" ht="14.25" customHeight="1" x14ac:dyDescent="0.3">
      <c r="A14" s="10" t="s">
        <v>334</v>
      </c>
      <c r="B14" s="8">
        <v>21.5</v>
      </c>
      <c r="C14" s="9" t="s">
        <v>335</v>
      </c>
    </row>
    <row r="15" spans="1:3" ht="14.25" customHeight="1" x14ac:dyDescent="0.3">
      <c r="A15" s="6"/>
      <c r="B15" s="6"/>
      <c r="C15" s="6"/>
    </row>
    <row r="16" spans="1:3" ht="14.25" customHeight="1" x14ac:dyDescent="0.3">
      <c r="A16" s="6" t="s">
        <v>336</v>
      </c>
      <c r="B16" s="13">
        <f>IF(ISNUMBER(B12), B12, IF(OR(B6="", B7=""), "", B6*B7))</f>
        <v>150</v>
      </c>
      <c r="C16" s="9" t="s">
        <v>337</v>
      </c>
    </row>
    <row r="17" spans="1:3" ht="14.25" customHeight="1" x14ac:dyDescent="0.3">
      <c r="A17" s="6"/>
      <c r="B17" s="6"/>
      <c r="C17" s="6"/>
    </row>
    <row r="18" spans="1:3" ht="14.25" customHeight="1" x14ac:dyDescent="0.3">
      <c r="A18" s="10" t="s">
        <v>338</v>
      </c>
      <c r="B18" s="14" t="str">
        <f>A18</f>
        <v>On-vehicle (battery-to-wheel) Vehicle Efficiency</v>
      </c>
      <c r="C18" s="9" t="s">
        <v>339</v>
      </c>
    </row>
    <row r="19" spans="1:3" ht="14.25" customHeight="1" x14ac:dyDescent="0.3">
      <c r="A19" s="6" t="s">
        <v>230</v>
      </c>
      <c r="B19" s="14">
        <v>0.35</v>
      </c>
      <c r="C19" s="9" t="s">
        <v>340</v>
      </c>
    </row>
    <row r="20" spans="1:3" ht="14.25" customHeight="1" x14ac:dyDescent="0.3">
      <c r="A20" s="6" t="s">
        <v>33</v>
      </c>
      <c r="B20" s="13">
        <f>IF(
  ISNUMBER(SEARCH("WLTP",B18)),
  (
    (B19
      *IF(ISNUMBER(SEARCH("flat",B9)),1,IF(ISNUMBER(SEARCH("mixed",B9)),1.1,IF(ISNUMBER(SEARCH("hill",B9)),1.25,1)))
      *IF(ISNUMBER(SEARCH("low",B10)),1,IF(ISNUMBER(SEARCH("med",B10)),1.07,IF(ISNUMBER(SEARCH("high",B10)),1.15,1)))
    )
    +0.003*MAX(ABS(B13-21.5),ABS(B14-21.5))
  )/0.85,
  (B19
    *IF(ISNUMBER(SEARCH("flat",B9)),1,IF(ISNUMBER(SEARCH("mixed",B9)),1.1,IF(ISNUMBER(SEARCH("hill",B9)),1.25,1)))
    *IF(ISNUMBER(SEARCH("low",B10)),1,IF(ISNUMBER(SEARCH("med",B10)),1.07,IF(ISNUMBER(SEARCH("high",B10)),1.15,1)))
  )
  +0.003*MAX(ABS(B13-21.5),ABS(B14-21.5))
)</f>
        <v>0.47862500000000002</v>
      </c>
      <c r="C20" s="9" t="s">
        <v>341</v>
      </c>
    </row>
    <row r="21" spans="1:3" ht="14.25" customHeight="1" x14ac:dyDescent="0.3">
      <c r="A21" s="6" t="s">
        <v>342</v>
      </c>
      <c r="B21" s="13">
        <f>B16*B20</f>
        <v>71.793750000000003</v>
      </c>
      <c r="C21" s="6"/>
    </row>
    <row r="22" spans="1:3" ht="14.25" customHeight="1" x14ac:dyDescent="0.3">
      <c r="A22" s="6"/>
      <c r="B22" s="6"/>
      <c r="C22" s="6"/>
    </row>
    <row r="23" spans="1:3" ht="14.25" customHeight="1" x14ac:dyDescent="0.3">
      <c r="A23" s="7" t="s">
        <v>343</v>
      </c>
      <c r="B23" s="2"/>
      <c r="C23" s="2"/>
    </row>
    <row r="24" spans="1:3" ht="14.25" customHeight="1" x14ac:dyDescent="0.3">
      <c r="A24" s="6" t="s">
        <v>40</v>
      </c>
      <c r="B24" s="14">
        <v>120</v>
      </c>
      <c r="C24" s="9" t="s">
        <v>344</v>
      </c>
    </row>
    <row r="25" spans="1:3" ht="14.25" customHeight="1" x14ac:dyDescent="0.3">
      <c r="A25" s="15" t="s">
        <v>345</v>
      </c>
      <c r="B25" s="14" t="s">
        <v>345</v>
      </c>
      <c r="C25" s="9" t="s">
        <v>346</v>
      </c>
    </row>
    <row r="26" spans="1:3" ht="14.25" customHeight="1" x14ac:dyDescent="0.3">
      <c r="A26" s="6" t="s">
        <v>62</v>
      </c>
      <c r="B26" s="13">
        <f>IF(ISNUMBER(SEARCH("Installed",B25)),B24*0.95*0.8,B24*0.8)</f>
        <v>91.2</v>
      </c>
      <c r="C26" s="9" t="s">
        <v>347</v>
      </c>
    </row>
    <row r="27" spans="1:3" ht="14.25" customHeight="1" x14ac:dyDescent="0.3">
      <c r="A27" s="6" t="s">
        <v>66</v>
      </c>
      <c r="B27" s="13">
        <f>B26/B20</f>
        <v>190.54583442151997</v>
      </c>
      <c r="C27" s="9" t="s">
        <v>348</v>
      </c>
    </row>
    <row r="28" spans="1:3" ht="14.25" customHeight="1" x14ac:dyDescent="0.3">
      <c r="A28" s="6" t="s">
        <v>304</v>
      </c>
      <c r="B28" s="16" t="str">
        <f>IF(OR(B27="",B16=""),"", IF(VALUE(B27)&gt;=VALUE(B16),"Conditional Go", IF(ISNUMBER(SEARCH("Midday",B8)),"Maybe","No-go")))</f>
        <v>Conditional Go</v>
      </c>
      <c r="C28" s="6"/>
    </row>
    <row r="29" spans="1:3" ht="14.25" customHeight="1" x14ac:dyDescent="0.3">
      <c r="A29" s="6" t="s">
        <v>349</v>
      </c>
      <c r="B29" s="14">
        <v>8</v>
      </c>
      <c r="C29" s="6" t="s">
        <v>350</v>
      </c>
    </row>
    <row r="30" spans="1:3" ht="14.25" customHeight="1" x14ac:dyDescent="0.3">
      <c r="A30" s="17" t="s">
        <v>351</v>
      </c>
      <c r="B30" s="2"/>
      <c r="C30" s="2"/>
    </row>
    <row r="31" spans="1:3" ht="14.25" customHeight="1" x14ac:dyDescent="0.3">
      <c r="A31" s="10" t="s">
        <v>71</v>
      </c>
      <c r="B31" s="14">
        <v>10</v>
      </c>
      <c r="C31" s="9" t="s">
        <v>352</v>
      </c>
    </row>
    <row r="32" spans="1:3" ht="14.25" customHeight="1" x14ac:dyDescent="0.3">
      <c r="A32" s="6" t="s">
        <v>77</v>
      </c>
      <c r="B32" s="14">
        <v>60</v>
      </c>
      <c r="C32" s="9" t="s">
        <v>353</v>
      </c>
    </row>
    <row r="33" spans="1:3" ht="14.25" customHeight="1" x14ac:dyDescent="0.3">
      <c r="A33" s="6" t="s">
        <v>83</v>
      </c>
      <c r="B33" s="14">
        <v>6</v>
      </c>
      <c r="C33" s="9" t="s">
        <v>354</v>
      </c>
    </row>
    <row r="34" spans="1:3" ht="14.25" customHeight="1" x14ac:dyDescent="0.3">
      <c r="A34" s="6" t="s">
        <v>89</v>
      </c>
      <c r="B34" s="13">
        <f>B29</f>
        <v>8</v>
      </c>
      <c r="C34" s="9" t="s">
        <v>355</v>
      </c>
    </row>
    <row r="35" spans="1:3" ht="14.25" customHeight="1" x14ac:dyDescent="0.3">
      <c r="A35" s="6" t="s">
        <v>96</v>
      </c>
      <c r="B35" s="14">
        <v>2000</v>
      </c>
      <c r="C35" s="9" t="s">
        <v>356</v>
      </c>
    </row>
    <row r="36" spans="1:3" ht="14.25" customHeight="1" x14ac:dyDescent="0.3">
      <c r="A36" s="10" t="s">
        <v>252</v>
      </c>
      <c r="B36" s="14">
        <v>500</v>
      </c>
      <c r="C36" s="9" t="s">
        <v>357</v>
      </c>
    </row>
    <row r="37" spans="1:3" ht="14.25" customHeight="1" x14ac:dyDescent="0.3">
      <c r="A37" s="6" t="s">
        <v>108</v>
      </c>
      <c r="B37" s="14">
        <v>510</v>
      </c>
      <c r="C37" s="9" t="s">
        <v>358</v>
      </c>
    </row>
    <row r="38" spans="1:3" ht="14.25" customHeight="1" x14ac:dyDescent="0.3">
      <c r="A38" s="10" t="s">
        <v>257</v>
      </c>
      <c r="B38" s="14">
        <v>400</v>
      </c>
      <c r="C38" s="9" t="s">
        <v>359</v>
      </c>
    </row>
    <row r="39" spans="1:3" ht="14.25" customHeight="1" x14ac:dyDescent="0.3">
      <c r="A39" s="6" t="s">
        <v>120</v>
      </c>
      <c r="B39" s="13">
        <f>MAX(0, B35-B36)</f>
        <v>1500</v>
      </c>
      <c r="C39" s="9" t="s">
        <v>360</v>
      </c>
    </row>
    <row r="40" spans="1:3" ht="14.25" customHeight="1" x14ac:dyDescent="0.3">
      <c r="A40" s="6" t="s">
        <v>124</v>
      </c>
      <c r="B40" s="13">
        <f>MAX(0, B37-B38)</f>
        <v>110</v>
      </c>
      <c r="C40" s="9" t="s">
        <v>361</v>
      </c>
    </row>
    <row r="41" spans="1:3" ht="14.25" customHeight="1" x14ac:dyDescent="0.3">
      <c r="A41" s="6" t="s">
        <v>129</v>
      </c>
      <c r="B41" s="13">
        <f>MIN(B39*B33, B32*B31*B33) * 0.85 * 0.9</f>
        <v>2754</v>
      </c>
      <c r="C41" s="9" t="s">
        <v>362</v>
      </c>
    </row>
    <row r="42" spans="1:3" ht="14.25" customHeight="1" x14ac:dyDescent="0.3">
      <c r="A42" s="6" t="s">
        <v>133</v>
      </c>
      <c r="B42" s="13">
        <f>MIN(B40*B34, B32*B31*B34) * 0.85 * 0.9</f>
        <v>673.2</v>
      </c>
      <c r="C42" s="9" t="s">
        <v>363</v>
      </c>
    </row>
    <row r="43" spans="1:3" ht="14.25" customHeight="1" x14ac:dyDescent="0.3">
      <c r="A43" s="6" t="s">
        <v>138</v>
      </c>
      <c r="B43" s="13">
        <f>B31 * B21</f>
        <v>717.9375</v>
      </c>
      <c r="C43" s="9" t="s">
        <v>364</v>
      </c>
    </row>
    <row r="44" spans="1:3" ht="14.25" customHeight="1" x14ac:dyDescent="0.3">
      <c r="A44" s="6" t="s">
        <v>365</v>
      </c>
      <c r="B44" s="13">
        <f>MAX(0, B16 - B27)</f>
        <v>0</v>
      </c>
      <c r="C44" s="9" t="s">
        <v>366</v>
      </c>
    </row>
    <row r="45" spans="1:3" ht="14.25" customHeight="1" x14ac:dyDescent="0.3">
      <c r="A45" s="6" t="s">
        <v>146</v>
      </c>
      <c r="B45" s="13">
        <f>B31 * B44</f>
        <v>0</v>
      </c>
      <c r="C45" s="9" t="s">
        <v>367</v>
      </c>
    </row>
    <row r="46" spans="1:3" ht="14.25" customHeight="1" x14ac:dyDescent="0.3">
      <c r="A46" s="6" t="s">
        <v>368</v>
      </c>
      <c r="B46" s="13">
        <f>B20 * B44</f>
        <v>0</v>
      </c>
      <c r="C46" s="9" t="s">
        <v>369</v>
      </c>
    </row>
    <row r="47" spans="1:3" ht="14.25" customHeight="1" x14ac:dyDescent="0.3">
      <c r="A47" s="6" t="s">
        <v>370</v>
      </c>
      <c r="B47" s="13">
        <f>B31 * B46</f>
        <v>0</v>
      </c>
      <c r="C47" s="9" t="s">
        <v>371</v>
      </c>
    </row>
    <row r="48" spans="1:3" ht="14.25" customHeight="1" x14ac:dyDescent="0.3">
      <c r="A48" s="6" t="s">
        <v>372</v>
      </c>
      <c r="B48" s="13" t="str">
        <f>IF(B41&gt;=B43,"Yes","No")</f>
        <v>Yes</v>
      </c>
      <c r="C48" s="9" t="s">
        <v>373</v>
      </c>
    </row>
    <row r="49" spans="1:3" ht="14.25" customHeight="1" x14ac:dyDescent="0.3">
      <c r="A49" s="6" t="s">
        <v>374</v>
      </c>
      <c r="B49" s="13" t="str">
        <f>IF(B42 &gt;= B47, "Yes", "No")</f>
        <v>Yes</v>
      </c>
      <c r="C49" s="9" t="s">
        <v>375</v>
      </c>
    </row>
    <row r="50" spans="1:3" ht="14.25" customHeight="1" x14ac:dyDescent="0.3">
      <c r="A50" s="6" t="s">
        <v>376</v>
      </c>
      <c r="B50" s="13" t="str">
        <f>IF(OR(B34&lt;=0,B32&lt;=0,B47&lt;=0),"", CEILING( B47/(B32*0.85*0.9*B34), 1 ))</f>
        <v/>
      </c>
      <c r="C50" s="9" t="s">
        <v>377</v>
      </c>
    </row>
    <row r="51" spans="1:3" ht="14.25" customHeight="1" x14ac:dyDescent="0.3">
      <c r="A51" s="6" t="s">
        <v>378</v>
      </c>
      <c r="B51" s="13">
        <f>IF(OR(B33&lt;=0,B32&lt;=0,B43&lt;=0),"", CEILING( B43/(B32*0.85*0.9*B33), 1 ))</f>
        <v>3</v>
      </c>
      <c r="C51" s="9" t="s">
        <v>379</v>
      </c>
    </row>
    <row r="52" spans="1:3" ht="14.25" customHeight="1" x14ac:dyDescent="0.3">
      <c r="A52" s="6" t="s">
        <v>380</v>
      </c>
      <c r="B52" s="13" t="str">
        <f>IF(B50="","", IF(B50*B32 &lt;= B40, "Yes", "No"))</f>
        <v/>
      </c>
      <c r="C52" s="9" t="s">
        <v>381</v>
      </c>
    </row>
    <row r="53" spans="1:3" ht="14.25" customHeight="1" x14ac:dyDescent="0.3">
      <c r="A53" s="6" t="s">
        <v>382</v>
      </c>
      <c r="B53" s="13" t="str">
        <f>IF(B51="","", IF(B51*B32 &lt;= B39, "Yes", "No"))</f>
        <v>Yes</v>
      </c>
      <c r="C53" s="9" t="s">
        <v>383</v>
      </c>
    </row>
    <row r="54" spans="1:3" ht="14.25" customHeight="1" x14ac:dyDescent="0.3">
      <c r="A54" s="6" t="s">
        <v>305</v>
      </c>
      <c r="B54" s="16" t="str">
        <f>IF(AND(N(B41)&gt;=N(B43),OR(N(B47)=0,N(B42)&gt;=N(B47)),N(B51)*N(B32)&lt;=N(B39),OR(N(B47)=0,N(B50)*N(B32)&lt;=N(B40))),"Conditional Go",IF(MAX(IF(N(B43)&gt;0,MAX(0,(N(B43)-N(B41))/N(B43)),0),IF(N(B47)&gt;0,MAX(0,(N(B47)-N(B42))/N(B47)),0),IF(N(B39)&gt;0,MAX(0,(N(B51)*N(B32)-N(B39))/N(B39)),0),IF(AND(N(B47)&gt;0,N(B40)&gt;0),MAX(0,(N(B50)*N(B32)-N(B40))/N(B40)),0))&lt;=0.1,"Maybe","No-go"))</f>
        <v>Conditional Go</v>
      </c>
      <c r="C54" s="9" t="s">
        <v>384</v>
      </c>
    </row>
    <row r="55" spans="1:3" ht="14.25" customHeight="1" x14ac:dyDescent="0.3">
      <c r="A55" s="6"/>
      <c r="B55" s="6"/>
      <c r="C55" s="6"/>
    </row>
    <row r="56" spans="1:3" ht="14.25" customHeight="1" x14ac:dyDescent="0.3">
      <c r="A56" s="18" t="s">
        <v>385</v>
      </c>
      <c r="B56" s="2"/>
      <c r="C56" s="2"/>
    </row>
    <row r="57" spans="1:3" ht="14.25" customHeight="1" x14ac:dyDescent="0.3">
      <c r="A57" s="6" t="s">
        <v>261</v>
      </c>
      <c r="B57" s="15" t="s">
        <v>386</v>
      </c>
      <c r="C57" s="16">
        <f t="shared" ref="C57:C65" si="0">IF(B57="",0,IF(ISNUMBER(SEARCH("yes",B57)),1,IF(ISNUMBER(SEARCH("partial",B57)),0.5,0)))</f>
        <v>1</v>
      </c>
    </row>
    <row r="58" spans="1:3" ht="14.25" customHeight="1" x14ac:dyDescent="0.3">
      <c r="A58" s="6" t="s">
        <v>265</v>
      </c>
      <c r="B58" s="15" t="s">
        <v>386</v>
      </c>
      <c r="C58" s="16">
        <f t="shared" si="0"/>
        <v>1</v>
      </c>
    </row>
    <row r="59" spans="1:3" ht="14.25" customHeight="1" x14ac:dyDescent="0.3">
      <c r="A59" s="6" t="s">
        <v>267</v>
      </c>
      <c r="B59" s="15" t="s">
        <v>386</v>
      </c>
      <c r="C59" s="16">
        <f t="shared" si="0"/>
        <v>1</v>
      </c>
    </row>
    <row r="60" spans="1:3" ht="14.25" customHeight="1" x14ac:dyDescent="0.3">
      <c r="A60" s="6" t="s">
        <v>269</v>
      </c>
      <c r="B60" s="15" t="s">
        <v>387</v>
      </c>
      <c r="C60" s="16">
        <f t="shared" si="0"/>
        <v>0</v>
      </c>
    </row>
    <row r="61" spans="1:3" ht="14.25" customHeight="1" x14ac:dyDescent="0.3">
      <c r="A61" s="6" t="s">
        <v>271</v>
      </c>
      <c r="B61" s="15" t="s">
        <v>387</v>
      </c>
      <c r="C61" s="16">
        <f t="shared" si="0"/>
        <v>0</v>
      </c>
    </row>
    <row r="62" spans="1:3" ht="14.25" customHeight="1" x14ac:dyDescent="0.3">
      <c r="A62" s="6" t="s">
        <v>273</v>
      </c>
      <c r="B62" s="15" t="s">
        <v>386</v>
      </c>
      <c r="C62" s="16">
        <f t="shared" si="0"/>
        <v>1</v>
      </c>
    </row>
    <row r="63" spans="1:3" ht="14.25" customHeight="1" x14ac:dyDescent="0.3">
      <c r="A63" s="6" t="s">
        <v>275</v>
      </c>
      <c r="B63" s="15" t="s">
        <v>386</v>
      </c>
      <c r="C63" s="16">
        <f t="shared" si="0"/>
        <v>1</v>
      </c>
    </row>
    <row r="64" spans="1:3" ht="14.25" customHeight="1" x14ac:dyDescent="0.3">
      <c r="A64" s="6" t="s">
        <v>277</v>
      </c>
      <c r="B64" s="15" t="s">
        <v>387</v>
      </c>
      <c r="C64" s="16">
        <f t="shared" si="0"/>
        <v>0</v>
      </c>
    </row>
    <row r="65" spans="1:3" ht="14.25" customHeight="1" x14ac:dyDescent="0.3">
      <c r="A65" s="6" t="s">
        <v>279</v>
      </c>
      <c r="B65" s="15" t="s">
        <v>388</v>
      </c>
      <c r="C65" s="16">
        <f t="shared" si="0"/>
        <v>0.5</v>
      </c>
    </row>
    <row r="66" spans="1:3" ht="14.25" customHeight="1" x14ac:dyDescent="0.3">
      <c r="A66" s="6"/>
      <c r="B66" s="6"/>
      <c r="C66" s="27">
        <f>SUM(C57:C65)/9</f>
        <v>0.61111111111111116</v>
      </c>
    </row>
    <row r="67" spans="1:3" ht="14.25" customHeight="1" x14ac:dyDescent="0.3">
      <c r="A67" s="6" t="s">
        <v>306</v>
      </c>
      <c r="B67" s="16" t="str">
        <f>IF(C66&gt;=0.75,"Conditional Go",IF(C66&gt;=0.4,"Maybe","No-go"))</f>
        <v>Maybe</v>
      </c>
      <c r="C67" s="6"/>
    </row>
    <row r="68" spans="1:3" ht="14.25" customHeight="1" x14ac:dyDescent="0.3"/>
    <row r="69" spans="1:3" ht="14.25" customHeight="1" x14ac:dyDescent="0.3"/>
    <row r="70" spans="1:3" ht="14.25" customHeight="1" x14ac:dyDescent="0.3"/>
    <row r="71" spans="1:3" ht="14.25" customHeight="1" x14ac:dyDescent="0.3"/>
    <row r="72" spans="1:3" ht="14.25" customHeight="1" x14ac:dyDescent="0.3"/>
    <row r="73" spans="1:3" ht="14.25" customHeight="1" x14ac:dyDescent="0.3"/>
    <row r="74" spans="1:3" ht="14.25" customHeight="1" x14ac:dyDescent="0.3"/>
    <row r="75" spans="1:3" ht="14.25" customHeight="1" x14ac:dyDescent="0.3"/>
    <row r="76" spans="1:3" ht="14.25" customHeight="1" x14ac:dyDescent="0.3"/>
    <row r="77" spans="1:3" ht="14.25" customHeight="1" x14ac:dyDescent="0.3"/>
    <row r="78" spans="1:3" ht="14.25" customHeight="1" x14ac:dyDescent="0.3"/>
    <row r="79" spans="1:3" ht="14.25" customHeight="1" x14ac:dyDescent="0.3"/>
    <row r="80" spans="1:3"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400-000000000000}">
          <x14:formula1>
            <xm:f>Lookups!$A$2:$A$4</xm:f>
          </x14:formula1>
          <xm:sqref>B8</xm:sqref>
        </x14:dataValidation>
        <x14:dataValidation type="list" allowBlank="1" xr:uid="{00000000-0002-0000-0400-000001000000}">
          <x14:formula1>
            <xm:f>Lookups!$B$2:$B$4</xm:f>
          </x14:formula1>
          <xm:sqref>B9</xm:sqref>
        </x14:dataValidation>
        <x14:dataValidation type="list" allowBlank="1" xr:uid="{00000000-0002-0000-0400-000002000000}">
          <x14:formula1>
            <xm:f>Lookups!$C$2:$C$4</xm:f>
          </x14:formula1>
          <xm:sqref>B10</xm:sqref>
        </x14:dataValidation>
        <x14:dataValidation type="list" allowBlank="1" xr:uid="{00000000-0002-0000-0400-000003000000}">
          <x14:formula1>
            <xm:f>Lookups!$D$2:$D$3</xm:f>
          </x14:formula1>
          <xm:sqref>B18</xm:sqref>
        </x14:dataValidation>
        <x14:dataValidation type="list" allowBlank="1" xr:uid="{00000000-0002-0000-0400-000004000000}">
          <x14:formula1>
            <xm:f>Lookups!$F$2:$F$3</xm:f>
          </x14:formula1>
          <xm:sqref>B25</xm:sqref>
        </x14:dataValidation>
        <x14:dataValidation type="list" allowBlank="1" xr:uid="{00000000-0002-0000-0400-000005000000}">
          <x14:formula1>
            <xm:f>Lookups!$E$2:$E$4</xm:f>
          </x14:formula1>
          <xm:sqref>B57:B65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0"/>
  <sheetViews>
    <sheetView topLeftCell="A28" workbookViewId="0">
      <selection activeCell="B35" sqref="B35"/>
    </sheetView>
  </sheetViews>
  <sheetFormatPr defaultColWidth="12.5546875" defaultRowHeight="15" customHeight="1" x14ac:dyDescent="0.3"/>
  <cols>
    <col min="1" max="1" width="49.33203125" customWidth="1"/>
    <col min="2" max="2" width="56.5546875" customWidth="1"/>
    <col min="3" max="3" width="94.5546875" customWidth="1"/>
    <col min="4" max="4" width="28.44140625" customWidth="1"/>
    <col min="5" max="5" width="83.33203125" customWidth="1"/>
    <col min="6" max="6" width="60" customWidth="1"/>
    <col min="7" max="7" width="284.88671875" customWidth="1"/>
  </cols>
  <sheetData>
    <row r="1" spans="1:7" x14ac:dyDescent="0.3">
      <c r="A1" s="19" t="s">
        <v>0</v>
      </c>
      <c r="B1" s="19" t="s">
        <v>1</v>
      </c>
      <c r="C1" s="19" t="s">
        <v>2</v>
      </c>
      <c r="D1" s="19" t="s">
        <v>3</v>
      </c>
      <c r="E1" s="19" t="s">
        <v>4</v>
      </c>
      <c r="F1" s="19" t="s">
        <v>5</v>
      </c>
      <c r="G1" s="19" t="s">
        <v>6</v>
      </c>
    </row>
    <row r="2" spans="1:7" x14ac:dyDescent="0.3">
      <c r="A2" s="20" t="s">
        <v>7</v>
      </c>
      <c r="B2" s="20"/>
      <c r="C2" s="20"/>
      <c r="D2" s="20"/>
      <c r="E2" s="20"/>
      <c r="F2" s="20"/>
      <c r="G2" s="20"/>
    </row>
    <row r="3" spans="1:7" x14ac:dyDescent="0.3">
      <c r="A3" s="21"/>
      <c r="B3" s="21" t="s">
        <v>8</v>
      </c>
      <c r="C3" s="21" t="s">
        <v>9</v>
      </c>
      <c r="D3" s="21" t="s">
        <v>10</v>
      </c>
      <c r="E3" s="21" t="s">
        <v>11</v>
      </c>
      <c r="F3" s="21" t="s">
        <v>12</v>
      </c>
      <c r="G3" s="21" t="s">
        <v>13</v>
      </c>
    </row>
    <row r="4" spans="1:7" x14ac:dyDescent="0.3">
      <c r="A4" s="21"/>
      <c r="B4" s="21" t="s">
        <v>14</v>
      </c>
      <c r="C4" s="21" t="s">
        <v>15</v>
      </c>
      <c r="D4" s="21" t="s">
        <v>16</v>
      </c>
      <c r="E4" s="21" t="s">
        <v>17</v>
      </c>
      <c r="F4" s="21" t="s">
        <v>18</v>
      </c>
      <c r="G4" s="21" t="s">
        <v>19</v>
      </c>
    </row>
    <row r="5" spans="1:7" x14ac:dyDescent="0.3">
      <c r="A5" s="20" t="s">
        <v>20</v>
      </c>
      <c r="B5" s="20"/>
      <c r="C5" s="20"/>
      <c r="D5" s="20"/>
      <c r="E5" s="20"/>
      <c r="F5" s="20"/>
      <c r="G5" s="20"/>
    </row>
    <row r="6" spans="1:7" x14ac:dyDescent="0.3">
      <c r="A6" s="21"/>
      <c r="B6" s="21" t="s">
        <v>21</v>
      </c>
      <c r="C6" s="21" t="s">
        <v>22</v>
      </c>
      <c r="D6" s="21" t="s">
        <v>23</v>
      </c>
      <c r="E6" s="21" t="s">
        <v>24</v>
      </c>
      <c r="F6" s="21" t="s">
        <v>25</v>
      </c>
      <c r="G6" s="21" t="s">
        <v>26</v>
      </c>
    </row>
    <row r="7" spans="1:7" x14ac:dyDescent="0.3">
      <c r="A7" s="21"/>
      <c r="B7" s="21" t="s">
        <v>27</v>
      </c>
      <c r="C7" s="21" t="s">
        <v>28</v>
      </c>
      <c r="D7" s="21" t="s">
        <v>29</v>
      </c>
      <c r="E7" s="21" t="s">
        <v>30</v>
      </c>
      <c r="F7" s="21" t="s">
        <v>31</v>
      </c>
      <c r="G7" s="21" t="s">
        <v>32</v>
      </c>
    </row>
    <row r="8" spans="1:7" x14ac:dyDescent="0.3">
      <c r="A8" s="21"/>
      <c r="B8" s="21" t="s">
        <v>33</v>
      </c>
      <c r="C8" s="21" t="s">
        <v>34</v>
      </c>
      <c r="D8" s="21" t="s">
        <v>35</v>
      </c>
      <c r="E8" s="21" t="s">
        <v>36</v>
      </c>
      <c r="F8" s="21" t="s">
        <v>37</v>
      </c>
      <c r="G8" s="21" t="s">
        <v>38</v>
      </c>
    </row>
    <row r="9" spans="1:7" x14ac:dyDescent="0.3">
      <c r="A9" s="20" t="s">
        <v>39</v>
      </c>
      <c r="B9" s="20"/>
      <c r="C9" s="20"/>
      <c r="D9" s="20"/>
      <c r="E9" s="20"/>
      <c r="F9" s="20"/>
      <c r="G9" s="20"/>
    </row>
    <row r="10" spans="1:7" x14ac:dyDescent="0.3">
      <c r="A10" s="21"/>
      <c r="B10" s="21" t="s">
        <v>40</v>
      </c>
      <c r="C10" s="21" t="s">
        <v>41</v>
      </c>
      <c r="D10" s="21" t="s">
        <v>42</v>
      </c>
      <c r="E10" s="21" t="s">
        <v>43</v>
      </c>
      <c r="F10" s="21" t="s">
        <v>44</v>
      </c>
      <c r="G10" s="21" t="s">
        <v>45</v>
      </c>
    </row>
    <row r="11" spans="1:7" x14ac:dyDescent="0.3">
      <c r="A11" s="21"/>
      <c r="B11" s="21" t="s">
        <v>46</v>
      </c>
      <c r="C11" s="21" t="s">
        <v>47</v>
      </c>
      <c r="D11" s="21" t="s">
        <v>48</v>
      </c>
      <c r="E11" s="21" t="s">
        <v>49</v>
      </c>
      <c r="F11" s="21" t="s">
        <v>50</v>
      </c>
      <c r="G11" s="21" t="s">
        <v>51</v>
      </c>
    </row>
    <row r="12" spans="1:7" x14ac:dyDescent="0.3">
      <c r="A12" s="21"/>
      <c r="B12" s="21" t="s">
        <v>52</v>
      </c>
      <c r="C12" s="21" t="s">
        <v>53</v>
      </c>
      <c r="D12" s="21" t="s">
        <v>37</v>
      </c>
      <c r="E12" s="21" t="s">
        <v>54</v>
      </c>
      <c r="F12" s="21" t="s">
        <v>55</v>
      </c>
      <c r="G12" s="21" t="s">
        <v>56</v>
      </c>
    </row>
    <row r="13" spans="1:7" x14ac:dyDescent="0.3">
      <c r="A13" s="21"/>
      <c r="B13" s="21" t="s">
        <v>57</v>
      </c>
      <c r="C13" s="21" t="s">
        <v>58</v>
      </c>
      <c r="D13" s="21" t="s">
        <v>37</v>
      </c>
      <c r="E13" s="21" t="s">
        <v>59</v>
      </c>
      <c r="F13" s="21" t="s">
        <v>60</v>
      </c>
      <c r="G13" s="21" t="s">
        <v>61</v>
      </c>
    </row>
    <row r="14" spans="1:7" x14ac:dyDescent="0.3">
      <c r="A14" s="21"/>
      <c r="B14" s="21" t="s">
        <v>62</v>
      </c>
      <c r="C14" s="21" t="s">
        <v>63</v>
      </c>
      <c r="D14" s="21" t="s">
        <v>64</v>
      </c>
      <c r="E14" s="21" t="s">
        <v>36</v>
      </c>
      <c r="F14" s="21" t="s">
        <v>37</v>
      </c>
      <c r="G14" s="21" t="s">
        <v>65</v>
      </c>
    </row>
    <row r="15" spans="1:7" x14ac:dyDescent="0.3">
      <c r="A15" s="21"/>
      <c r="B15" s="21" t="s">
        <v>66</v>
      </c>
      <c r="C15" s="21" t="s">
        <v>67</v>
      </c>
      <c r="D15" s="21" t="s">
        <v>68</v>
      </c>
      <c r="E15" s="21" t="s">
        <v>36</v>
      </c>
      <c r="F15" s="21" t="s">
        <v>37</v>
      </c>
      <c r="G15" s="21" t="s">
        <v>69</v>
      </c>
    </row>
    <row r="16" spans="1:7" x14ac:dyDescent="0.3">
      <c r="A16" s="20" t="s">
        <v>70</v>
      </c>
      <c r="B16" s="20"/>
      <c r="C16" s="20"/>
      <c r="D16" s="20"/>
      <c r="E16" s="20"/>
      <c r="F16" s="20"/>
      <c r="G16" s="20"/>
    </row>
    <row r="17" spans="1:7" x14ac:dyDescent="0.3">
      <c r="A17" s="21"/>
      <c r="B17" s="21" t="s">
        <v>71</v>
      </c>
      <c r="C17" s="21" t="s">
        <v>72</v>
      </c>
      <c r="D17" s="21" t="s">
        <v>73</v>
      </c>
      <c r="E17" s="21" t="s">
        <v>74</v>
      </c>
      <c r="F17" s="21" t="s">
        <v>75</v>
      </c>
      <c r="G17" s="21" t="s">
        <v>76</v>
      </c>
    </row>
    <row r="18" spans="1:7" x14ac:dyDescent="0.3">
      <c r="A18" s="21"/>
      <c r="B18" s="21" t="s">
        <v>77</v>
      </c>
      <c r="C18" s="21" t="s">
        <v>78</v>
      </c>
      <c r="D18" s="21" t="s">
        <v>79</v>
      </c>
      <c r="E18" s="21" t="s">
        <v>80</v>
      </c>
      <c r="F18" s="21" t="s">
        <v>81</v>
      </c>
      <c r="G18" s="21" t="s">
        <v>82</v>
      </c>
    </row>
    <row r="19" spans="1:7" x14ac:dyDescent="0.3">
      <c r="A19" s="21"/>
      <c r="B19" s="21" t="s">
        <v>83</v>
      </c>
      <c r="C19" s="21" t="s">
        <v>84</v>
      </c>
      <c r="D19" s="21" t="s">
        <v>85</v>
      </c>
      <c r="E19" s="21" t="s">
        <v>86</v>
      </c>
      <c r="F19" s="21" t="s">
        <v>87</v>
      </c>
      <c r="G19" s="21" t="s">
        <v>88</v>
      </c>
    </row>
    <row r="20" spans="1:7" x14ac:dyDescent="0.3">
      <c r="A20" s="21"/>
      <c r="B20" s="21" t="s">
        <v>89</v>
      </c>
      <c r="C20" s="21" t="s">
        <v>90</v>
      </c>
      <c r="D20" s="21" t="s">
        <v>91</v>
      </c>
      <c r="E20" s="21" t="s">
        <v>92</v>
      </c>
      <c r="F20" s="21" t="s">
        <v>93</v>
      </c>
      <c r="G20" s="21" t="s">
        <v>94</v>
      </c>
    </row>
    <row r="21" spans="1:7" x14ac:dyDescent="0.3">
      <c r="A21" s="20" t="s">
        <v>95</v>
      </c>
      <c r="B21" s="20"/>
      <c r="C21" s="20"/>
      <c r="D21" s="20"/>
      <c r="E21" s="20"/>
      <c r="F21" s="20"/>
      <c r="G21" s="20"/>
    </row>
    <row r="22" spans="1:7" x14ac:dyDescent="0.3">
      <c r="A22" s="21"/>
      <c r="B22" s="21" t="s">
        <v>96</v>
      </c>
      <c r="C22" s="21" t="s">
        <v>97</v>
      </c>
      <c r="D22" s="21" t="s">
        <v>98</v>
      </c>
      <c r="E22" s="21" t="s">
        <v>99</v>
      </c>
      <c r="F22" s="21" t="s">
        <v>100</v>
      </c>
      <c r="G22" s="21" t="s">
        <v>101</v>
      </c>
    </row>
    <row r="23" spans="1:7" x14ac:dyDescent="0.3">
      <c r="A23" s="21"/>
      <c r="B23" s="21" t="s">
        <v>102</v>
      </c>
      <c r="C23" s="21" t="s">
        <v>103</v>
      </c>
      <c r="D23" s="21" t="s">
        <v>104</v>
      </c>
      <c r="E23" s="21" t="s">
        <v>105</v>
      </c>
      <c r="F23" s="21" t="s">
        <v>106</v>
      </c>
      <c r="G23" s="21" t="s">
        <v>107</v>
      </c>
    </row>
    <row r="24" spans="1:7" x14ac:dyDescent="0.3">
      <c r="A24" s="21"/>
      <c r="B24" s="21" t="s">
        <v>108</v>
      </c>
      <c r="C24" s="21" t="s">
        <v>109</v>
      </c>
      <c r="D24" s="21" t="s">
        <v>110</v>
      </c>
      <c r="E24" s="21" t="s">
        <v>111</v>
      </c>
      <c r="F24" s="21" t="s">
        <v>112</v>
      </c>
      <c r="G24" s="21" t="s">
        <v>113</v>
      </c>
    </row>
    <row r="25" spans="1:7" x14ac:dyDescent="0.3">
      <c r="A25" s="21"/>
      <c r="B25" s="21" t="s">
        <v>114</v>
      </c>
      <c r="C25" s="21" t="s">
        <v>115</v>
      </c>
      <c r="D25" s="21" t="s">
        <v>116</v>
      </c>
      <c r="E25" s="21" t="s">
        <v>117</v>
      </c>
      <c r="F25" s="21" t="s">
        <v>118</v>
      </c>
      <c r="G25" s="21" t="s">
        <v>119</v>
      </c>
    </row>
    <row r="26" spans="1:7" x14ac:dyDescent="0.3">
      <c r="A26" s="21"/>
      <c r="B26" s="21" t="s">
        <v>120</v>
      </c>
      <c r="C26" s="21" t="s">
        <v>121</v>
      </c>
      <c r="D26" s="21" t="s">
        <v>122</v>
      </c>
      <c r="E26" s="21" t="s">
        <v>36</v>
      </c>
      <c r="F26" s="21" t="s">
        <v>37</v>
      </c>
      <c r="G26" s="21" t="s">
        <v>123</v>
      </c>
    </row>
    <row r="27" spans="1:7" x14ac:dyDescent="0.3">
      <c r="A27" s="21"/>
      <c r="B27" s="21" t="s">
        <v>124</v>
      </c>
      <c r="C27" s="21" t="s">
        <v>125</v>
      </c>
      <c r="D27" s="21" t="s">
        <v>126</v>
      </c>
      <c r="E27" s="21" t="s">
        <v>36</v>
      </c>
      <c r="F27" s="21" t="s">
        <v>37</v>
      </c>
      <c r="G27" s="21" t="s">
        <v>127</v>
      </c>
    </row>
    <row r="28" spans="1:7" x14ac:dyDescent="0.3">
      <c r="A28" s="20" t="s">
        <v>128</v>
      </c>
      <c r="B28" s="20"/>
      <c r="C28" s="20"/>
      <c r="D28" s="20"/>
      <c r="E28" s="20"/>
      <c r="F28" s="20"/>
      <c r="G28" s="20"/>
    </row>
    <row r="29" spans="1:7" x14ac:dyDescent="0.3">
      <c r="A29" s="21"/>
      <c r="B29" s="21" t="s">
        <v>129</v>
      </c>
      <c r="C29" s="21" t="s">
        <v>130</v>
      </c>
      <c r="D29" s="21" t="s">
        <v>131</v>
      </c>
      <c r="E29" s="21" t="s">
        <v>36</v>
      </c>
      <c r="F29" s="21" t="s">
        <v>37</v>
      </c>
      <c r="G29" s="21" t="s">
        <v>132</v>
      </c>
    </row>
    <row r="30" spans="1:7" x14ac:dyDescent="0.3">
      <c r="A30" s="21"/>
      <c r="B30" s="21" t="s">
        <v>133</v>
      </c>
      <c r="C30" s="21" t="s">
        <v>134</v>
      </c>
      <c r="D30" s="21" t="s">
        <v>135</v>
      </c>
      <c r="E30" s="21" t="s">
        <v>36</v>
      </c>
      <c r="F30" s="21" t="s">
        <v>37</v>
      </c>
      <c r="G30" s="21" t="s">
        <v>136</v>
      </c>
    </row>
    <row r="31" spans="1:7" x14ac:dyDescent="0.3">
      <c r="A31" s="20" t="s">
        <v>137</v>
      </c>
      <c r="B31" s="20"/>
      <c r="C31" s="20"/>
      <c r="D31" s="20"/>
      <c r="E31" s="20"/>
      <c r="F31" s="20"/>
      <c r="G31" s="20"/>
    </row>
    <row r="32" spans="1:7" x14ac:dyDescent="0.3">
      <c r="A32" s="21"/>
      <c r="B32" s="21" t="s">
        <v>138</v>
      </c>
      <c r="C32" s="21" t="s">
        <v>139</v>
      </c>
      <c r="D32" s="21" t="s">
        <v>140</v>
      </c>
      <c r="E32" s="21" t="s">
        <v>36</v>
      </c>
      <c r="F32" s="21" t="s">
        <v>37</v>
      </c>
      <c r="G32" s="21" t="s">
        <v>141</v>
      </c>
    </row>
    <row r="33" spans="1:7" x14ac:dyDescent="0.3">
      <c r="A33" s="21"/>
      <c r="B33" s="21" t="s">
        <v>142</v>
      </c>
      <c r="C33" s="21" t="s">
        <v>143</v>
      </c>
      <c r="D33" s="21" t="s">
        <v>144</v>
      </c>
      <c r="E33" s="21" t="s">
        <v>36</v>
      </c>
      <c r="F33" s="21" t="s">
        <v>37</v>
      </c>
      <c r="G33" s="21" t="s">
        <v>145</v>
      </c>
    </row>
    <row r="34" spans="1:7" x14ac:dyDescent="0.3">
      <c r="A34" s="21"/>
      <c r="B34" s="21" t="s">
        <v>146</v>
      </c>
      <c r="C34" s="21" t="s">
        <v>147</v>
      </c>
      <c r="D34" s="21" t="s">
        <v>148</v>
      </c>
      <c r="E34" s="21" t="s">
        <v>36</v>
      </c>
      <c r="F34" s="21" t="s">
        <v>37</v>
      </c>
      <c r="G34" s="21" t="s">
        <v>149</v>
      </c>
    </row>
    <row r="35" spans="1:7" x14ac:dyDescent="0.3">
      <c r="A35" s="21"/>
      <c r="B35" s="21" t="s">
        <v>150</v>
      </c>
      <c r="C35" s="21" t="s">
        <v>151</v>
      </c>
      <c r="D35" s="21" t="s">
        <v>152</v>
      </c>
      <c r="E35" s="21" t="s">
        <v>36</v>
      </c>
      <c r="F35" s="21" t="s">
        <v>37</v>
      </c>
      <c r="G35" s="21" t="s">
        <v>153</v>
      </c>
    </row>
    <row r="36" spans="1:7" x14ac:dyDescent="0.3">
      <c r="A36" s="21"/>
      <c r="B36" s="21" t="s">
        <v>154</v>
      </c>
      <c r="C36" s="21" t="s">
        <v>155</v>
      </c>
      <c r="D36" s="21" t="s">
        <v>156</v>
      </c>
      <c r="E36" s="21" t="s">
        <v>36</v>
      </c>
      <c r="F36" s="21" t="s">
        <v>37</v>
      </c>
      <c r="G36" s="21" t="s">
        <v>157</v>
      </c>
    </row>
    <row r="37" spans="1:7" x14ac:dyDescent="0.3">
      <c r="A37" s="20" t="s">
        <v>158</v>
      </c>
      <c r="B37" s="20"/>
      <c r="C37" s="20"/>
      <c r="D37" s="20"/>
      <c r="E37" s="20"/>
      <c r="F37" s="20"/>
      <c r="G37" s="20"/>
    </row>
    <row r="38" spans="1:7" x14ac:dyDescent="0.3">
      <c r="A38" s="21"/>
      <c r="B38" s="21" t="s">
        <v>159</v>
      </c>
      <c r="C38" s="21" t="s">
        <v>160</v>
      </c>
      <c r="D38" s="21" t="s">
        <v>161</v>
      </c>
      <c r="E38" s="21" t="s">
        <v>36</v>
      </c>
      <c r="F38" s="21" t="s">
        <v>37</v>
      </c>
      <c r="G38" s="21" t="s">
        <v>162</v>
      </c>
    </row>
    <row r="39" spans="1:7" x14ac:dyDescent="0.3">
      <c r="A39" s="21"/>
      <c r="B39" s="21" t="s">
        <v>163</v>
      </c>
      <c r="C39" s="21" t="s">
        <v>164</v>
      </c>
      <c r="D39" s="21" t="s">
        <v>165</v>
      </c>
      <c r="E39" s="21" t="s">
        <v>36</v>
      </c>
      <c r="F39" s="21" t="s">
        <v>37</v>
      </c>
      <c r="G39" s="21" t="s">
        <v>166</v>
      </c>
    </row>
    <row r="40" spans="1:7" x14ac:dyDescent="0.3">
      <c r="A40" s="21"/>
      <c r="B40" s="21" t="s">
        <v>167</v>
      </c>
      <c r="C40" s="21" t="s">
        <v>168</v>
      </c>
      <c r="D40" s="21" t="s">
        <v>169</v>
      </c>
      <c r="E40" s="21" t="s">
        <v>170</v>
      </c>
      <c r="F40" s="21" t="s">
        <v>171</v>
      </c>
      <c r="G40" s="21"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O17"/>
  <sheetViews>
    <sheetView workbookViewId="0">
      <selection activeCell="C20" sqref="C20"/>
    </sheetView>
  </sheetViews>
  <sheetFormatPr defaultColWidth="12.5546875" defaultRowHeight="15" customHeight="1" x14ac:dyDescent="0.3"/>
  <cols>
    <col min="1" max="1" width="51" customWidth="1"/>
    <col min="2" max="2" width="51.109375" customWidth="1"/>
    <col min="3" max="3" width="31.88671875" customWidth="1"/>
    <col min="4" max="4" width="32.5546875" customWidth="1"/>
    <col min="5" max="5" width="28.6640625" customWidth="1"/>
    <col min="6" max="6" width="67" customWidth="1"/>
    <col min="7" max="7" width="31.33203125" customWidth="1"/>
    <col min="8" max="8" width="86.44140625" customWidth="1"/>
    <col min="9" max="9" width="56.88671875" customWidth="1"/>
    <col min="10" max="10" width="22.88671875" customWidth="1"/>
    <col min="11" max="11" width="20.6640625" customWidth="1"/>
    <col min="12" max="12" width="73.109375" customWidth="1"/>
    <col min="13" max="13" width="46.5546875" customWidth="1"/>
    <col min="14" max="14" width="92.44140625" customWidth="1"/>
    <col min="15" max="15" width="87.44140625" customWidth="1"/>
  </cols>
  <sheetData>
    <row r="1" spans="1:15" x14ac:dyDescent="0.3">
      <c r="A1" s="42" t="s">
        <v>389</v>
      </c>
      <c r="B1" s="43"/>
      <c r="C1" s="43"/>
      <c r="D1" s="43"/>
      <c r="E1" s="43"/>
      <c r="F1" s="43"/>
      <c r="G1" s="43"/>
      <c r="H1" s="43"/>
      <c r="I1" s="43"/>
      <c r="J1" s="43"/>
      <c r="K1" s="43"/>
      <c r="L1" s="43"/>
      <c r="M1" s="43"/>
      <c r="N1" s="43"/>
      <c r="O1" s="44"/>
    </row>
    <row r="2" spans="1:15" x14ac:dyDescent="0.3">
      <c r="A2" s="45" t="s">
        <v>390</v>
      </c>
      <c r="B2" s="45" t="s">
        <v>391</v>
      </c>
      <c r="C2" s="45" t="s">
        <v>392</v>
      </c>
      <c r="D2" s="45" t="s">
        <v>393</v>
      </c>
      <c r="E2" s="45" t="s">
        <v>394</v>
      </c>
      <c r="F2" s="45" t="s">
        <v>395</v>
      </c>
      <c r="G2" s="45" t="s">
        <v>396</v>
      </c>
      <c r="H2" s="45" t="s">
        <v>397</v>
      </c>
      <c r="I2" s="45" t="s">
        <v>398</v>
      </c>
      <c r="J2" s="45" t="s">
        <v>399</v>
      </c>
      <c r="K2" s="45" t="s">
        <v>400</v>
      </c>
      <c r="L2" s="45" t="s">
        <v>401</v>
      </c>
      <c r="M2" s="45" t="s">
        <v>402</v>
      </c>
      <c r="N2" s="45" t="s">
        <v>403</v>
      </c>
      <c r="O2" s="45" t="s">
        <v>404</v>
      </c>
    </row>
    <row r="3" spans="1:15" x14ac:dyDescent="0.3">
      <c r="A3" s="46" t="s">
        <v>405</v>
      </c>
      <c r="B3" s="46" t="s">
        <v>406</v>
      </c>
      <c r="C3" s="47">
        <v>15</v>
      </c>
      <c r="D3" s="46" t="s">
        <v>407</v>
      </c>
      <c r="E3" s="46" t="s">
        <v>408</v>
      </c>
      <c r="F3" s="46" t="s">
        <v>409</v>
      </c>
      <c r="G3" s="46" t="s">
        <v>410</v>
      </c>
      <c r="H3" s="46" t="s">
        <v>411</v>
      </c>
      <c r="I3" s="46" t="s">
        <v>412</v>
      </c>
      <c r="J3" s="46" t="s">
        <v>413</v>
      </c>
      <c r="K3" s="46" t="s">
        <v>414</v>
      </c>
      <c r="L3" s="46" t="s">
        <v>415</v>
      </c>
      <c r="M3" s="46" t="s">
        <v>416</v>
      </c>
      <c r="N3" s="46" t="s">
        <v>417</v>
      </c>
      <c r="O3" s="46" t="s">
        <v>418</v>
      </c>
    </row>
    <row r="4" spans="1:15" x14ac:dyDescent="0.3">
      <c r="A4" s="46" t="s">
        <v>419</v>
      </c>
      <c r="B4" s="46" t="s">
        <v>420</v>
      </c>
      <c r="C4" s="46" t="s">
        <v>421</v>
      </c>
      <c r="D4" s="46" t="s">
        <v>422</v>
      </c>
      <c r="E4" s="46">
        <v>86.1</v>
      </c>
      <c r="F4" s="46" t="s">
        <v>423</v>
      </c>
      <c r="G4" s="46" t="s">
        <v>424</v>
      </c>
      <c r="H4" s="46" t="s">
        <v>425</v>
      </c>
      <c r="I4" s="46" t="s">
        <v>426</v>
      </c>
      <c r="J4" s="46" t="s">
        <v>413</v>
      </c>
      <c r="K4" s="46" t="s">
        <v>427</v>
      </c>
      <c r="L4" s="46" t="s">
        <v>428</v>
      </c>
      <c r="M4" s="46" t="s">
        <v>429</v>
      </c>
      <c r="N4" s="46" t="s">
        <v>430</v>
      </c>
      <c r="O4" s="46" t="s">
        <v>431</v>
      </c>
    </row>
    <row r="5" spans="1:15" x14ac:dyDescent="0.3">
      <c r="A5" s="46" t="s">
        <v>432</v>
      </c>
      <c r="B5" s="46" t="s">
        <v>433</v>
      </c>
      <c r="C5" s="46" t="s">
        <v>434</v>
      </c>
      <c r="D5" s="46" t="s">
        <v>435</v>
      </c>
      <c r="E5" s="46">
        <v>107.6</v>
      </c>
      <c r="F5" s="46" t="s">
        <v>436</v>
      </c>
      <c r="G5" s="46" t="s">
        <v>435</v>
      </c>
      <c r="H5" s="46" t="s">
        <v>437</v>
      </c>
      <c r="I5" s="46" t="s">
        <v>438</v>
      </c>
      <c r="J5" s="46" t="s">
        <v>435</v>
      </c>
      <c r="K5" s="46" t="s">
        <v>439</v>
      </c>
      <c r="L5" s="46" t="s">
        <v>435</v>
      </c>
      <c r="M5" s="46" t="s">
        <v>435</v>
      </c>
      <c r="N5" s="46" t="s">
        <v>435</v>
      </c>
      <c r="O5" s="46" t="s">
        <v>440</v>
      </c>
    </row>
    <row r="6" spans="1:15" x14ac:dyDescent="0.3">
      <c r="A6" s="46" t="s">
        <v>441</v>
      </c>
      <c r="B6" s="46" t="s">
        <v>442</v>
      </c>
      <c r="C6" s="47">
        <v>15</v>
      </c>
      <c r="D6" s="46" t="s">
        <v>435</v>
      </c>
      <c r="E6" s="46" t="s">
        <v>443</v>
      </c>
      <c r="F6" s="46" t="s">
        <v>444</v>
      </c>
      <c r="G6" s="46" t="s">
        <v>435</v>
      </c>
      <c r="H6" s="46" t="s">
        <v>445</v>
      </c>
      <c r="I6" s="46" t="s">
        <v>446</v>
      </c>
      <c r="J6" s="46" t="s">
        <v>435</v>
      </c>
      <c r="K6" s="46" t="s">
        <v>447</v>
      </c>
      <c r="L6" s="46" t="s">
        <v>435</v>
      </c>
      <c r="M6" s="46" t="s">
        <v>435</v>
      </c>
      <c r="N6" s="46" t="s">
        <v>435</v>
      </c>
      <c r="O6" s="46" t="s">
        <v>448</v>
      </c>
    </row>
    <row r="7" spans="1:15" x14ac:dyDescent="0.3">
      <c r="A7" s="46" t="s">
        <v>449</v>
      </c>
      <c r="B7" s="46" t="s">
        <v>450</v>
      </c>
      <c r="C7" s="46" t="s">
        <v>451</v>
      </c>
      <c r="D7" s="46" t="s">
        <v>435</v>
      </c>
      <c r="E7" s="46" t="s">
        <v>452</v>
      </c>
      <c r="F7" s="47">
        <v>300</v>
      </c>
      <c r="G7" s="46" t="s">
        <v>435</v>
      </c>
      <c r="H7" s="46" t="s">
        <v>453</v>
      </c>
      <c r="I7" s="46" t="s">
        <v>454</v>
      </c>
      <c r="J7" s="46" t="s">
        <v>435</v>
      </c>
      <c r="K7" s="46" t="s">
        <v>455</v>
      </c>
      <c r="L7" s="46" t="s">
        <v>435</v>
      </c>
      <c r="M7" s="46" t="s">
        <v>435</v>
      </c>
      <c r="N7" s="46" t="s">
        <v>435</v>
      </c>
      <c r="O7" s="46" t="s">
        <v>456</v>
      </c>
    </row>
    <row r="8" spans="1:15" x14ac:dyDescent="0.3">
      <c r="A8" s="48"/>
      <c r="B8" s="48"/>
      <c r="C8" s="48"/>
      <c r="D8" s="48"/>
      <c r="E8" s="48"/>
      <c r="F8" s="48"/>
      <c r="G8" s="48"/>
      <c r="H8" s="48"/>
      <c r="I8" s="48"/>
      <c r="J8" s="48"/>
      <c r="K8" s="48"/>
      <c r="L8" s="48"/>
      <c r="M8" s="48"/>
      <c r="N8" s="48"/>
      <c r="O8" s="48"/>
    </row>
    <row r="9" spans="1:15" x14ac:dyDescent="0.3">
      <c r="A9" s="42" t="s">
        <v>457</v>
      </c>
      <c r="B9" s="43"/>
      <c r="C9" s="43"/>
      <c r="D9" s="43"/>
      <c r="E9" s="43"/>
      <c r="F9" s="43"/>
      <c r="G9" s="43"/>
      <c r="H9" s="43"/>
      <c r="I9" s="43"/>
      <c r="J9" s="43"/>
      <c r="K9" s="43"/>
      <c r="L9" s="43"/>
      <c r="M9" s="43"/>
      <c r="N9" s="43"/>
      <c r="O9" s="44"/>
    </row>
    <row r="10" spans="1:15" x14ac:dyDescent="0.3">
      <c r="A10" s="45" t="s">
        <v>390</v>
      </c>
      <c r="B10" s="45" t="s">
        <v>391</v>
      </c>
      <c r="C10" s="45" t="s">
        <v>392</v>
      </c>
      <c r="D10" s="45" t="s">
        <v>393</v>
      </c>
      <c r="E10" s="45" t="s">
        <v>394</v>
      </c>
      <c r="F10" s="45" t="s">
        <v>395</v>
      </c>
      <c r="G10" s="45" t="s">
        <v>396</v>
      </c>
      <c r="H10" s="45" t="s">
        <v>397</v>
      </c>
      <c r="I10" s="45" t="s">
        <v>398</v>
      </c>
      <c r="J10" s="45" t="s">
        <v>399</v>
      </c>
      <c r="K10" s="45" t="s">
        <v>400</v>
      </c>
      <c r="L10" s="45" t="s">
        <v>401</v>
      </c>
      <c r="M10" s="45" t="s">
        <v>402</v>
      </c>
      <c r="N10" s="45" t="s">
        <v>403</v>
      </c>
      <c r="O10" s="45" t="s">
        <v>458</v>
      </c>
    </row>
    <row r="11" spans="1:15" x14ac:dyDescent="0.3">
      <c r="A11" s="46" t="s">
        <v>459</v>
      </c>
      <c r="B11" s="46" t="s">
        <v>460</v>
      </c>
      <c r="C11" s="46" t="s">
        <v>461</v>
      </c>
      <c r="D11" s="46" t="s">
        <v>462</v>
      </c>
      <c r="E11" s="46" t="s">
        <v>463</v>
      </c>
      <c r="F11" s="46" t="s">
        <v>464</v>
      </c>
      <c r="G11" s="46" t="s">
        <v>465</v>
      </c>
      <c r="H11" s="46" t="s">
        <v>466</v>
      </c>
      <c r="I11" s="46" t="s">
        <v>467</v>
      </c>
      <c r="J11" s="46" t="s">
        <v>413</v>
      </c>
      <c r="K11" s="46" t="s">
        <v>414</v>
      </c>
      <c r="L11" s="46" t="s">
        <v>468</v>
      </c>
      <c r="M11" s="46" t="s">
        <v>469</v>
      </c>
      <c r="N11" s="46" t="s">
        <v>470</v>
      </c>
      <c r="O11" s="46" t="s">
        <v>471</v>
      </c>
    </row>
    <row r="12" spans="1:15" x14ac:dyDescent="0.3">
      <c r="A12" s="46" t="s">
        <v>472</v>
      </c>
      <c r="B12" s="46" t="s">
        <v>473</v>
      </c>
      <c r="C12" s="46" t="s">
        <v>474</v>
      </c>
      <c r="D12" s="46" t="s">
        <v>475</v>
      </c>
      <c r="E12" s="46" t="s">
        <v>476</v>
      </c>
      <c r="F12" s="46" t="s">
        <v>477</v>
      </c>
      <c r="G12" s="46" t="s">
        <v>478</v>
      </c>
      <c r="H12" s="46" t="s">
        <v>479</v>
      </c>
      <c r="I12" s="46" t="s">
        <v>480</v>
      </c>
      <c r="J12" s="46" t="s">
        <v>481</v>
      </c>
      <c r="K12" s="46" t="s">
        <v>414</v>
      </c>
      <c r="L12" s="46" t="s">
        <v>482</v>
      </c>
      <c r="M12" s="46" t="s">
        <v>483</v>
      </c>
      <c r="N12" s="46" t="s">
        <v>484</v>
      </c>
      <c r="O12" s="46" t="s">
        <v>485</v>
      </c>
    </row>
    <row r="13" spans="1:15" x14ac:dyDescent="0.3">
      <c r="A13" s="46" t="s">
        <v>486</v>
      </c>
      <c r="B13" s="46" t="s">
        <v>487</v>
      </c>
      <c r="C13" s="46" t="s">
        <v>488</v>
      </c>
      <c r="D13" s="46" t="s">
        <v>489</v>
      </c>
      <c r="E13" s="46" t="s">
        <v>490</v>
      </c>
      <c r="F13" s="46" t="s">
        <v>491</v>
      </c>
      <c r="G13" s="46" t="s">
        <v>492</v>
      </c>
      <c r="H13" s="46" t="s">
        <v>493</v>
      </c>
      <c r="I13" s="46" t="s">
        <v>494</v>
      </c>
      <c r="J13" s="46" t="s">
        <v>413</v>
      </c>
      <c r="K13" s="46" t="s">
        <v>495</v>
      </c>
      <c r="L13" s="46" t="s">
        <v>496</v>
      </c>
      <c r="M13" s="46" t="s">
        <v>497</v>
      </c>
      <c r="N13" s="46" t="s">
        <v>498</v>
      </c>
      <c r="O13" s="46" t="s">
        <v>499</v>
      </c>
    </row>
    <row r="14" spans="1:15" x14ac:dyDescent="0.3">
      <c r="A14" s="46" t="s">
        <v>500</v>
      </c>
      <c r="B14" s="46" t="s">
        <v>501</v>
      </c>
      <c r="C14" s="46" t="s">
        <v>502</v>
      </c>
      <c r="D14" s="46" t="s">
        <v>475</v>
      </c>
      <c r="E14" s="46" t="s">
        <v>503</v>
      </c>
      <c r="F14" s="46" t="s">
        <v>504</v>
      </c>
      <c r="G14" s="46" t="s">
        <v>505</v>
      </c>
      <c r="H14" s="46" t="s">
        <v>506</v>
      </c>
      <c r="I14" s="46" t="s">
        <v>507</v>
      </c>
      <c r="J14" s="46" t="s">
        <v>413</v>
      </c>
      <c r="K14" s="46" t="s">
        <v>508</v>
      </c>
      <c r="L14" s="46" t="s">
        <v>509</v>
      </c>
      <c r="M14" s="46" t="s">
        <v>510</v>
      </c>
      <c r="N14" s="46" t="s">
        <v>498</v>
      </c>
      <c r="O14" s="46" t="s">
        <v>511</v>
      </c>
    </row>
    <row r="15" spans="1:15" x14ac:dyDescent="0.3">
      <c r="A15" s="46" t="s">
        <v>512</v>
      </c>
      <c r="B15" s="46" t="s">
        <v>513</v>
      </c>
      <c r="C15" s="46" t="s">
        <v>514</v>
      </c>
      <c r="D15" s="46" t="s">
        <v>475</v>
      </c>
      <c r="E15" s="47">
        <v>118</v>
      </c>
      <c r="F15" s="46" t="s">
        <v>515</v>
      </c>
      <c r="G15" s="46" t="s">
        <v>516</v>
      </c>
      <c r="H15" s="46" t="s">
        <v>517</v>
      </c>
      <c r="I15" s="46" t="s">
        <v>518</v>
      </c>
      <c r="J15" s="46" t="s">
        <v>413</v>
      </c>
      <c r="K15" s="46" t="s">
        <v>519</v>
      </c>
      <c r="L15" s="46" t="s">
        <v>520</v>
      </c>
      <c r="M15" s="46" t="s">
        <v>521</v>
      </c>
      <c r="N15" s="46" t="s">
        <v>522</v>
      </c>
      <c r="O15" s="46" t="s">
        <v>523</v>
      </c>
    </row>
    <row r="16" spans="1:15" x14ac:dyDescent="0.3">
      <c r="A16" s="46" t="s">
        <v>524</v>
      </c>
      <c r="B16" s="46" t="s">
        <v>525</v>
      </c>
      <c r="C16" s="46" t="s">
        <v>526</v>
      </c>
      <c r="D16" s="46" t="s">
        <v>489</v>
      </c>
      <c r="E16" s="46" t="s">
        <v>527</v>
      </c>
      <c r="F16" s="46" t="s">
        <v>528</v>
      </c>
      <c r="G16" s="46" t="s">
        <v>529</v>
      </c>
      <c r="H16" s="46" t="s">
        <v>530</v>
      </c>
      <c r="I16" s="46" t="s">
        <v>531</v>
      </c>
      <c r="J16" s="46" t="s">
        <v>532</v>
      </c>
      <c r="K16" s="46" t="s">
        <v>533</v>
      </c>
      <c r="L16" s="46" t="s">
        <v>534</v>
      </c>
      <c r="M16" s="46" t="s">
        <v>535</v>
      </c>
      <c r="N16" s="46" t="s">
        <v>536</v>
      </c>
      <c r="O16" s="46" t="s">
        <v>537</v>
      </c>
    </row>
    <row r="17" spans="1:15" x14ac:dyDescent="0.3">
      <c r="A17" s="46" t="s">
        <v>538</v>
      </c>
      <c r="B17" s="46" t="s">
        <v>539</v>
      </c>
      <c r="C17" s="46" t="s">
        <v>540</v>
      </c>
      <c r="D17" s="46" t="s">
        <v>475</v>
      </c>
      <c r="E17" s="46" t="s">
        <v>541</v>
      </c>
      <c r="F17" s="46" t="s">
        <v>542</v>
      </c>
      <c r="G17" s="46" t="s">
        <v>543</v>
      </c>
      <c r="H17" s="46" t="s">
        <v>544</v>
      </c>
      <c r="I17" s="46" t="s">
        <v>545</v>
      </c>
      <c r="J17" s="46" t="s">
        <v>413</v>
      </c>
      <c r="K17" s="46" t="s">
        <v>546</v>
      </c>
      <c r="L17" s="46" t="s">
        <v>547</v>
      </c>
      <c r="M17" s="46" t="s">
        <v>548</v>
      </c>
      <c r="N17" s="46" t="s">
        <v>549</v>
      </c>
      <c r="O17" s="46" t="s">
        <v>550</v>
      </c>
    </row>
  </sheetData>
  <mergeCells count="2">
    <mergeCell ref="A1:O1"/>
    <mergeCell ref="A9:O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0"/>
  <sheetViews>
    <sheetView workbookViewId="0"/>
  </sheetViews>
  <sheetFormatPr defaultColWidth="12.5546875" defaultRowHeight="15" customHeight="1" x14ac:dyDescent="0.3"/>
  <cols>
    <col min="1" max="1" width="22.44140625" customWidth="1"/>
    <col min="2" max="3" width="9.33203125" customWidth="1"/>
    <col min="4" max="4" width="39.44140625" customWidth="1"/>
    <col min="5" max="5" width="32.88671875" customWidth="1"/>
    <col min="6" max="26" width="8.5546875" customWidth="1"/>
  </cols>
  <sheetData>
    <row r="1" spans="1:6" ht="14.25" customHeight="1" x14ac:dyDescent="0.3">
      <c r="A1" s="3" t="s">
        <v>551</v>
      </c>
      <c r="B1" s="3" t="s">
        <v>551</v>
      </c>
      <c r="C1" s="3" t="s">
        <v>551</v>
      </c>
      <c r="D1" s="3" t="s">
        <v>551</v>
      </c>
      <c r="E1" s="3" t="s">
        <v>551</v>
      </c>
      <c r="F1" s="3" t="s">
        <v>551</v>
      </c>
    </row>
    <row r="2" spans="1:6" ht="14.25" customHeight="1" x14ac:dyDescent="0.3">
      <c r="A2" s="3" t="s">
        <v>322</v>
      </c>
      <c r="B2" s="3" t="s">
        <v>552</v>
      </c>
      <c r="C2" s="3" t="s">
        <v>553</v>
      </c>
      <c r="D2" s="3" t="s">
        <v>338</v>
      </c>
      <c r="E2" s="3" t="s">
        <v>386</v>
      </c>
      <c r="F2" s="6" t="s">
        <v>345</v>
      </c>
    </row>
    <row r="3" spans="1:6" ht="14.25" customHeight="1" x14ac:dyDescent="0.3">
      <c r="A3" s="3" t="s">
        <v>554</v>
      </c>
      <c r="B3" s="3" t="s">
        <v>555</v>
      </c>
      <c r="C3" s="3" t="s">
        <v>328</v>
      </c>
      <c r="D3" s="3" t="s">
        <v>556</v>
      </c>
      <c r="E3" s="3" t="s">
        <v>388</v>
      </c>
      <c r="F3" s="6" t="s">
        <v>557</v>
      </c>
    </row>
    <row r="4" spans="1:6" ht="14.25" customHeight="1" x14ac:dyDescent="0.3">
      <c r="A4" s="3" t="s">
        <v>558</v>
      </c>
      <c r="B4" s="3" t="s">
        <v>325</v>
      </c>
      <c r="C4" s="3" t="s">
        <v>559</v>
      </c>
      <c r="E4" t="s">
        <v>387</v>
      </c>
      <c r="F4" s="6" t="s">
        <v>387</v>
      </c>
    </row>
    <row r="5" spans="1:6" ht="14.25" customHeight="1" x14ac:dyDescent="0.3"/>
    <row r="6" spans="1:6" ht="14.25" customHeight="1" x14ac:dyDescent="0.3"/>
    <row r="7" spans="1:6" ht="14.25" customHeight="1" x14ac:dyDescent="0.3"/>
    <row r="8" spans="1:6" ht="14.25" customHeight="1" x14ac:dyDescent="0.3"/>
    <row r="9" spans="1:6" ht="14.25" customHeight="1" x14ac:dyDescent="0.3"/>
    <row r="10" spans="1:6" ht="14.25" customHeight="1" x14ac:dyDescent="0.3"/>
    <row r="11" spans="1:6" ht="14.25" customHeight="1" x14ac:dyDescent="0.3"/>
    <row r="12" spans="1:6" ht="14.25" customHeight="1" x14ac:dyDescent="0.3"/>
    <row r="13" spans="1:6" ht="14.25" customHeight="1" x14ac:dyDescent="0.3"/>
    <row r="14" spans="1:6" ht="14.25" customHeight="1" x14ac:dyDescent="0.3"/>
    <row r="15" spans="1:6" ht="14.25" customHeight="1" x14ac:dyDescent="0.3"/>
    <row r="16" spans="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2709ED6611694E87078AC661BB6E32" ma:contentTypeVersion="16" ma:contentTypeDescription="Create a new document." ma:contentTypeScope="" ma:versionID="c958aa5b871f3fa81f7992edad304d37">
  <xsd:schema xmlns:xsd="http://www.w3.org/2001/XMLSchema" xmlns:xs="http://www.w3.org/2001/XMLSchema" xmlns:p="http://schemas.microsoft.com/office/2006/metadata/properties" xmlns:ns2="03dad9f7-eeac-4c02-ba14-375916eb47b1" xmlns:ns3="cdaba44c-56e2-426a-84fb-b2cd630ec321" targetNamespace="http://schemas.microsoft.com/office/2006/metadata/properties" ma:root="true" ma:fieldsID="575f5dcbe395753590e27ac6c8d3ef46" ns2:_="" ns3:_="">
    <xsd:import namespace="03dad9f7-eeac-4c02-ba14-375916eb47b1"/>
    <xsd:import namespace="cdaba44c-56e2-426a-84fb-b2cd630ec3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ad9f7-eeac-4c02-ba14-375916eb47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ba44c-56e2-426a-84fb-b2cd630ec3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62ff32a-af85-4782-8e75-432d823cca3b}" ma:internalName="TaxCatchAll" ma:showField="CatchAllData" ma:web="cdaba44c-56e2-426a-84fb-b2cd630ec3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dad9f7-eeac-4c02-ba14-375916eb47b1">
      <Terms xmlns="http://schemas.microsoft.com/office/infopath/2007/PartnerControls"/>
    </lcf76f155ced4ddcb4097134ff3c332f>
    <TaxCatchAll xmlns="cdaba44c-56e2-426a-84fb-b2cd630ec321" xsi:nil="true"/>
  </documentManagement>
</p:properties>
</file>

<file path=customXml/itemProps1.xml><?xml version="1.0" encoding="utf-8"?>
<ds:datastoreItem xmlns:ds="http://schemas.openxmlformats.org/officeDocument/2006/customXml" ds:itemID="{15F532C0-32B6-4027-AD59-B96B80B68AEB}"/>
</file>

<file path=customXml/itemProps2.xml><?xml version="1.0" encoding="utf-8"?>
<ds:datastoreItem xmlns:ds="http://schemas.openxmlformats.org/officeDocument/2006/customXml" ds:itemID="{0EF7A9B0-16F0-4D69-922E-047BC2EAAD8C}"/>
</file>

<file path=customXml/itemProps3.xml><?xml version="1.0" encoding="utf-8"?>
<ds:datastoreItem xmlns:ds="http://schemas.openxmlformats.org/officeDocument/2006/customXml" ds:itemID="{5DAD7AB6-500C-4EEC-B428-704E8597CB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Module A input prioritisation  </vt:lpstr>
      <vt:lpstr>Actions &amp; data library</vt:lpstr>
      <vt:lpstr>Dashboard</vt:lpstr>
      <vt:lpstr>Feasibility Assessment</vt:lpstr>
      <vt:lpstr>Info &amp; Definitions </vt:lpstr>
      <vt:lpstr>Vehicle Spec Guidance</vt:lpstr>
      <vt:lpstr>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 Steyn</dc:creator>
  <cp:lastModifiedBy>Duan Steyn</cp:lastModifiedBy>
  <dcterms:created xsi:type="dcterms:W3CDTF">2025-10-28T07:17:35Z</dcterms:created>
  <dcterms:modified xsi:type="dcterms:W3CDTF">2026-02-26T06:32:29Z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0x0101004C2709ED6611694E87078AC661BB6E32</vt:lpwstr>
  </property>
  <property fmtid="{D5CDD505-2E9C-101B-9397-08002B2CF9AE}" pid="3" name="MediaServiceImageTags">
    <vt:lpwstr/>
  </property>
</Properties>
</file>